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6\2-VYSTUPY\"/>
    </mc:Choice>
  </mc:AlternateContent>
  <xr:revisionPtr revIDLastSave="0" documentId="13_ncr:1_{10251BEE-1D0E-4E85-872A-547943C86F1C}" xr6:coauthVersionLast="47" xr6:coauthVersionMax="47" xr10:uidLastSave="{00000000-0000-0000-0000-000000000000}"/>
  <bookViews>
    <workbookView xWindow="28680" yWindow="-120" windowWidth="29040" windowHeight="18240" tabRatio="816" xr2:uid="{00000000-000D-0000-FFFF-FFFF00000000}"/>
  </bookViews>
  <sheets>
    <sheet name="ESA2010_jun26" sheetId="11" r:id="rId1"/>
    <sheet name="CASH_jun26" sheetId="12" r:id="rId2"/>
    <sheet name="Sankcie_jun26" sheetId="3" r:id="rId3"/>
    <sheet name="ESA2010_rozdiel_vybory" sheetId="13" r:id="rId4"/>
    <sheet name="ESA2010_feb26" sheetId="1" r:id="rId5"/>
    <sheet name="A_RVS_26_28" sheetId="9" r:id="rId6"/>
    <sheet name="C_RVS_26_28" sheetId="10" r:id="rId7"/>
  </sheets>
  <definedNames>
    <definedName name="_xlnm.Print_Area" localSheetId="5">A_RVS_26_28!$A$1:$M$103</definedName>
    <definedName name="_xlnm.Print_Area" localSheetId="6">C_RVS_26_28!$A$1:$E$82</definedName>
    <definedName name="_xlnm.Print_Area" localSheetId="1">CASH_jun26!$A$1:$G$82</definedName>
    <definedName name="_xlnm.Print_Area" localSheetId="4">ESA2010_feb26!$A$1:$H$103</definedName>
    <definedName name="_xlnm.Print_Area" localSheetId="3">ESA2010_rozdiel_vybory!$A$1:$G$99</definedName>
    <definedName name="_xlnm.Print_Area" localSheetId="2">Sankcie_jun26!$A$1:$G$64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H46" i="1"/>
  <c r="G46" i="1"/>
  <c r="F46" i="1"/>
  <c r="E46" i="1"/>
  <c r="D46" i="1"/>
  <c r="C46" i="1"/>
  <c r="B46" i="11"/>
  <c r="H46" i="11"/>
  <c r="G46" i="11"/>
  <c r="F46" i="11"/>
  <c r="E46" i="11"/>
  <c r="D46" i="11"/>
  <c r="C46" i="11"/>
  <c r="B17" i="13"/>
  <c r="C17" i="13"/>
  <c r="D17" i="13"/>
  <c r="E17" i="13"/>
  <c r="F17" i="13"/>
  <c r="G17" i="13"/>
  <c r="H17" i="13"/>
  <c r="B13" i="13"/>
  <c r="C13" i="13"/>
  <c r="D13" i="13"/>
  <c r="E13" i="13"/>
  <c r="F13" i="13"/>
  <c r="G13" i="13"/>
  <c r="H13" i="13"/>
  <c r="B14" i="13"/>
  <c r="C14" i="13"/>
  <c r="D14" i="13"/>
  <c r="E14" i="13"/>
  <c r="F14" i="13"/>
  <c r="G14" i="13"/>
  <c r="H14" i="13"/>
  <c r="B15" i="13"/>
  <c r="C15" i="13"/>
  <c r="D15" i="13"/>
  <c r="E15" i="13"/>
  <c r="F15" i="13"/>
  <c r="G15" i="13"/>
  <c r="H15" i="13"/>
  <c r="B16" i="13"/>
  <c r="C16" i="13"/>
  <c r="D16" i="13"/>
  <c r="E16" i="13"/>
  <c r="F16" i="13"/>
  <c r="G16" i="13"/>
  <c r="H16" i="13"/>
  <c r="Q9" i="11"/>
  <c r="P9" i="11"/>
  <c r="O9" i="11"/>
  <c r="N9" i="11"/>
  <c r="M9" i="11"/>
  <c r="U78" i="11" l="1"/>
  <c r="T78" i="11"/>
  <c r="Z77" i="11"/>
  <c r="Y77" i="11"/>
  <c r="X77" i="11"/>
  <c r="W77" i="11"/>
  <c r="V77" i="11"/>
  <c r="U77" i="11"/>
  <c r="T77" i="11"/>
  <c r="Z76" i="11"/>
  <c r="Y76" i="11"/>
  <c r="X76" i="11"/>
  <c r="W76" i="11"/>
  <c r="V76" i="11"/>
  <c r="U76" i="11"/>
  <c r="T76" i="11"/>
  <c r="U75" i="11"/>
  <c r="T75" i="11"/>
  <c r="U74" i="11"/>
  <c r="T74" i="11"/>
  <c r="Z72" i="11"/>
  <c r="Y72" i="11"/>
  <c r="X72" i="11"/>
  <c r="W72" i="11"/>
  <c r="V72" i="11"/>
  <c r="U72" i="11"/>
  <c r="T72" i="11"/>
  <c r="U71" i="11"/>
  <c r="T71" i="11"/>
  <c r="D77" i="11"/>
  <c r="D71" i="11"/>
  <c r="C54" i="11"/>
  <c r="H20" i="11"/>
  <c r="G20" i="11"/>
  <c r="F20" i="11"/>
  <c r="E20" i="11"/>
  <c r="D20" i="11"/>
  <c r="C20" i="11"/>
  <c r="B20" i="11"/>
  <c r="D78" i="12"/>
  <c r="D72" i="12"/>
  <c r="C54" i="12"/>
  <c r="B16" i="3"/>
  <c r="B54" i="3" s="1"/>
  <c r="H16" i="3"/>
  <c r="H54" i="3" s="1"/>
  <c r="G16" i="3"/>
  <c r="G54" i="3" s="1"/>
  <c r="F16" i="3"/>
  <c r="F54" i="3" s="1"/>
  <c r="E16" i="3"/>
  <c r="E54" i="3" s="1"/>
  <c r="D16" i="3"/>
  <c r="D54" i="3" s="1"/>
  <c r="C16" i="3"/>
  <c r="C54" i="3" s="1"/>
  <c r="B26" i="3"/>
  <c r="C26" i="3"/>
  <c r="D26" i="3"/>
  <c r="E26" i="3"/>
  <c r="F26" i="3"/>
  <c r="G26" i="3"/>
  <c r="H26" i="3"/>
  <c r="H99" i="13" l="1"/>
  <c r="H98" i="13"/>
  <c r="H97" i="13"/>
  <c r="H96" i="13"/>
  <c r="H95" i="13"/>
  <c r="H94" i="13" s="1"/>
  <c r="H93" i="13"/>
  <c r="H92" i="13"/>
  <c r="H91" i="13" s="1"/>
  <c r="H88" i="13"/>
  <c r="H86" i="13"/>
  <c r="H85" i="13" s="1"/>
  <c r="H83" i="13"/>
  <c r="H82" i="13"/>
  <c r="H81" i="13" s="1"/>
  <c r="H7" i="13"/>
  <c r="H6" i="13" s="1"/>
  <c r="H8" i="13"/>
  <c r="H10" i="13"/>
  <c r="H11" i="13"/>
  <c r="H12" i="13"/>
  <c r="H19" i="13"/>
  <c r="H21" i="13"/>
  <c r="H22" i="13"/>
  <c r="H23" i="13"/>
  <c r="H24" i="13"/>
  <c r="H25" i="13"/>
  <c r="H26" i="13"/>
  <c r="H27" i="13"/>
  <c r="H28" i="13"/>
  <c r="H29" i="13"/>
  <c r="H31" i="13"/>
  <c r="H30" i="13" s="1"/>
  <c r="H32" i="13"/>
  <c r="H33" i="13"/>
  <c r="H34" i="13"/>
  <c r="H36" i="13"/>
  <c r="H37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5" i="13"/>
  <c r="H56" i="13"/>
  <c r="H58" i="13"/>
  <c r="H59" i="13"/>
  <c r="H60" i="13"/>
  <c r="H61" i="13"/>
  <c r="H65" i="13"/>
  <c r="H64" i="13" s="1"/>
  <c r="H63" i="13" s="1"/>
  <c r="H66" i="13"/>
  <c r="H68" i="13"/>
  <c r="H67" i="13" s="1"/>
  <c r="H69" i="13"/>
  <c r="H73" i="13"/>
  <c r="H90" i="1"/>
  <c r="H97" i="1"/>
  <c r="H94" i="1"/>
  <c r="H91" i="1"/>
  <c r="H54" i="1"/>
  <c r="H57" i="1"/>
  <c r="H98" i="11"/>
  <c r="G98" i="11"/>
  <c r="F98" i="11"/>
  <c r="E98" i="11"/>
  <c r="D98" i="11"/>
  <c r="C98" i="11"/>
  <c r="B98" i="11"/>
  <c r="H95" i="11"/>
  <c r="G95" i="11"/>
  <c r="F95" i="11"/>
  <c r="E95" i="11"/>
  <c r="D95" i="11"/>
  <c r="C95" i="11"/>
  <c r="B95" i="11"/>
  <c r="H92" i="11"/>
  <c r="G92" i="11"/>
  <c r="F92" i="11"/>
  <c r="E92" i="11"/>
  <c r="D92" i="11"/>
  <c r="C92" i="11"/>
  <c r="B92" i="11"/>
  <c r="H35" i="13" l="1"/>
  <c r="H90" i="13"/>
  <c r="H62" i="13"/>
  <c r="H78" i="13" s="1"/>
  <c r="H20" i="13"/>
  <c r="H18" i="13" s="1"/>
  <c r="H5" i="13"/>
  <c r="E53" i="9"/>
  <c r="D53" i="9"/>
  <c r="C53" i="9"/>
  <c r="B53" i="9"/>
  <c r="B54" i="11" l="1"/>
  <c r="E78" i="10"/>
  <c r="D78" i="10"/>
  <c r="E77" i="10"/>
  <c r="D77" i="10"/>
  <c r="E76" i="10"/>
  <c r="D76" i="10"/>
  <c r="E75" i="10"/>
  <c r="D75" i="10"/>
  <c r="E73" i="10"/>
  <c r="D73" i="10"/>
  <c r="E72" i="10"/>
  <c r="D72" i="10"/>
  <c r="C78" i="10"/>
  <c r="C72" i="10"/>
  <c r="B72" i="10"/>
  <c r="E35" i="10"/>
  <c r="D35" i="10"/>
  <c r="C35" i="10"/>
  <c r="B35" i="10"/>
  <c r="E20" i="10"/>
  <c r="D20" i="10"/>
  <c r="C20" i="10"/>
  <c r="B20" i="10"/>
  <c r="E13" i="10"/>
  <c r="D13" i="10"/>
  <c r="C13" i="10"/>
  <c r="B13" i="10"/>
  <c r="E9" i="10"/>
  <c r="D9" i="10"/>
  <c r="C9" i="10"/>
  <c r="B9" i="10"/>
  <c r="E90" i="9"/>
  <c r="D90" i="9"/>
  <c r="C90" i="9"/>
  <c r="B90" i="9"/>
  <c r="L86" i="9"/>
  <c r="L85" i="9" s="1"/>
  <c r="K86" i="9"/>
  <c r="K85" i="9" s="1"/>
  <c r="J86" i="9"/>
  <c r="J85" i="9" s="1"/>
  <c r="I86" i="9"/>
  <c r="I85" i="9" s="1"/>
  <c r="J82" i="9"/>
  <c r="I82" i="9"/>
  <c r="L82" i="9"/>
  <c r="K82" i="9"/>
  <c r="E85" i="9"/>
  <c r="D85" i="9"/>
  <c r="C85" i="9"/>
  <c r="B85" i="9"/>
  <c r="E77" i="9"/>
  <c r="D77" i="9"/>
  <c r="C77" i="9"/>
  <c r="G97" i="1"/>
  <c r="F97" i="1"/>
  <c r="E97" i="1"/>
  <c r="D97" i="1"/>
  <c r="C97" i="1"/>
  <c r="B97" i="1"/>
  <c r="G94" i="1"/>
  <c r="F94" i="1"/>
  <c r="E94" i="1"/>
  <c r="D94" i="1"/>
  <c r="C94" i="1"/>
  <c r="B94" i="1"/>
  <c r="G91" i="1"/>
  <c r="F91" i="1"/>
  <c r="E91" i="1"/>
  <c r="D91" i="1"/>
  <c r="D90" i="1" s="1"/>
  <c r="C91" i="1"/>
  <c r="C90" i="1" s="1"/>
  <c r="B91" i="1"/>
  <c r="B90" i="1"/>
  <c r="H77" i="1"/>
  <c r="G77" i="1"/>
  <c r="F77" i="1"/>
  <c r="E77" i="1"/>
  <c r="D77" i="1"/>
  <c r="G57" i="1"/>
  <c r="F57" i="1"/>
  <c r="E57" i="1"/>
  <c r="D57" i="1"/>
  <c r="C57" i="1"/>
  <c r="B57" i="1"/>
  <c r="B55" i="1"/>
  <c r="G54" i="1"/>
  <c r="F54" i="1"/>
  <c r="F53" i="1" s="1"/>
  <c r="E54" i="1"/>
  <c r="D54" i="1"/>
  <c r="D53" i="1" s="1"/>
  <c r="C54" i="1"/>
  <c r="C53" i="1" s="1"/>
  <c r="B54" i="1"/>
  <c r="B53" i="1" s="1"/>
  <c r="E53" i="1"/>
  <c r="H53" i="1"/>
  <c r="F90" i="1" l="1"/>
  <c r="G90" i="1"/>
  <c r="E90" i="1"/>
  <c r="G53" i="1"/>
  <c r="H35" i="3"/>
  <c r="G35" i="3"/>
  <c r="F35" i="3"/>
  <c r="E35" i="3"/>
  <c r="D35" i="3"/>
  <c r="C35" i="3"/>
  <c r="B54" i="12"/>
  <c r="H78" i="12" l="1"/>
  <c r="G78" i="12"/>
  <c r="F78" i="12"/>
  <c r="E78" i="12"/>
  <c r="H77" i="12"/>
  <c r="G77" i="12"/>
  <c r="F77" i="12"/>
  <c r="E77" i="12"/>
  <c r="H76" i="12"/>
  <c r="G76" i="12"/>
  <c r="F76" i="12"/>
  <c r="E76" i="12"/>
  <c r="H75" i="12"/>
  <c r="G75" i="12"/>
  <c r="F75" i="12"/>
  <c r="E75" i="12"/>
  <c r="C78" i="12"/>
  <c r="C77" i="12"/>
  <c r="C76" i="12"/>
  <c r="C75" i="12"/>
  <c r="B78" i="12"/>
  <c r="B77" i="12"/>
  <c r="B76" i="12"/>
  <c r="B75" i="12"/>
  <c r="H13" i="12"/>
  <c r="G13" i="12"/>
  <c r="F13" i="12"/>
  <c r="E13" i="12"/>
  <c r="D13" i="12"/>
  <c r="H9" i="12"/>
  <c r="G9" i="12"/>
  <c r="F9" i="12"/>
  <c r="E9" i="12"/>
  <c r="D9" i="12"/>
  <c r="T7" i="11"/>
  <c r="T6" i="11" s="1"/>
  <c r="T8" i="11"/>
  <c r="L78" i="11"/>
  <c r="K78" i="11"/>
  <c r="Q77" i="11"/>
  <c r="P77" i="11"/>
  <c r="O77" i="11"/>
  <c r="N77" i="11"/>
  <c r="M77" i="11"/>
  <c r="L77" i="11"/>
  <c r="K77" i="11"/>
  <c r="Q76" i="11"/>
  <c r="P76" i="11"/>
  <c r="O76" i="11"/>
  <c r="N76" i="11"/>
  <c r="M76" i="11"/>
  <c r="L76" i="11"/>
  <c r="K76" i="11"/>
  <c r="Q75" i="11"/>
  <c r="P75" i="11"/>
  <c r="O75" i="11"/>
  <c r="N75" i="11"/>
  <c r="M75" i="11"/>
  <c r="L75" i="11"/>
  <c r="K75" i="11"/>
  <c r="Q74" i="11"/>
  <c r="P74" i="11"/>
  <c r="O74" i="11"/>
  <c r="N74" i="11"/>
  <c r="M74" i="11"/>
  <c r="L74" i="11"/>
  <c r="K74" i="11"/>
  <c r="K73" i="11"/>
  <c r="Q72" i="11"/>
  <c r="P72" i="11"/>
  <c r="O72" i="11"/>
  <c r="N72" i="11"/>
  <c r="M72" i="11"/>
  <c r="L72" i="11"/>
  <c r="K72" i="11"/>
  <c r="L71" i="11"/>
  <c r="K71" i="11"/>
  <c r="G91" i="11"/>
  <c r="F91" i="11"/>
  <c r="E91" i="11"/>
  <c r="D91" i="11"/>
  <c r="C91" i="11"/>
  <c r="B91" i="11"/>
  <c r="H77" i="11"/>
  <c r="H77" i="13" s="1"/>
  <c r="G77" i="11"/>
  <c r="F77" i="11"/>
  <c r="E77" i="11"/>
  <c r="C75" i="11"/>
  <c r="B75" i="11"/>
  <c r="C74" i="11"/>
  <c r="B74" i="11"/>
  <c r="G57" i="11"/>
  <c r="F57" i="11"/>
  <c r="E57" i="11"/>
  <c r="D57" i="11"/>
  <c r="C57" i="11"/>
  <c r="B57" i="11"/>
  <c r="Q54" i="11"/>
  <c r="P54" i="11"/>
  <c r="O54" i="11"/>
  <c r="N54" i="11"/>
  <c r="Q57" i="11"/>
  <c r="P57" i="11"/>
  <c r="O57" i="11"/>
  <c r="N57" i="11"/>
  <c r="C77" i="1" l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B74" i="1"/>
  <c r="D72" i="1"/>
  <c r="B72" i="1"/>
  <c r="H67" i="1"/>
  <c r="G67" i="1"/>
  <c r="F67" i="1"/>
  <c r="E67" i="1"/>
  <c r="D67" i="1"/>
  <c r="C67" i="1"/>
  <c r="B67" i="1"/>
  <c r="H64" i="1"/>
  <c r="H63" i="1" s="1"/>
  <c r="G64" i="1"/>
  <c r="F64" i="1"/>
  <c r="E64" i="1"/>
  <c r="E63" i="1" s="1"/>
  <c r="D64" i="1"/>
  <c r="D63" i="1" s="1"/>
  <c r="C64" i="1"/>
  <c r="C63" i="1" s="1"/>
  <c r="B64" i="1"/>
  <c r="G63" i="1"/>
  <c r="G62" i="1" s="1"/>
  <c r="G78" i="1" s="1"/>
  <c r="F63" i="1"/>
  <c r="B63" i="1"/>
  <c r="H72" i="1"/>
  <c r="G72" i="1"/>
  <c r="F72" i="1"/>
  <c r="E72" i="1"/>
  <c r="C72" i="1"/>
  <c r="C74" i="1"/>
  <c r="F38" i="1"/>
  <c r="E38" i="1"/>
  <c r="D38" i="1"/>
  <c r="C38" i="1"/>
  <c r="H38" i="1"/>
  <c r="G38" i="1"/>
  <c r="B38" i="1"/>
  <c r="H35" i="1"/>
  <c r="G35" i="1"/>
  <c r="F35" i="1"/>
  <c r="E35" i="1"/>
  <c r="D35" i="1"/>
  <c r="C35" i="1"/>
  <c r="B35" i="1"/>
  <c r="H30" i="1"/>
  <c r="G30" i="1"/>
  <c r="F30" i="1"/>
  <c r="E30" i="1"/>
  <c r="D30" i="1"/>
  <c r="C30" i="1"/>
  <c r="B30" i="1"/>
  <c r="H20" i="1"/>
  <c r="H18" i="1" s="1"/>
  <c r="G20" i="1"/>
  <c r="G18" i="1" s="1"/>
  <c r="F20" i="1"/>
  <c r="F18" i="1" s="1"/>
  <c r="E20" i="1"/>
  <c r="E18" i="1" s="1"/>
  <c r="D20" i="1"/>
  <c r="D18" i="1" s="1"/>
  <c r="C20" i="1"/>
  <c r="C18" i="1" s="1"/>
  <c r="B20" i="1"/>
  <c r="B18" i="1" s="1"/>
  <c r="H13" i="1"/>
  <c r="G13" i="1"/>
  <c r="F13" i="1"/>
  <c r="E13" i="1"/>
  <c r="D13" i="1"/>
  <c r="C13" i="1"/>
  <c r="B13" i="1"/>
  <c r="H6" i="1"/>
  <c r="H9" i="1" s="1"/>
  <c r="G6" i="1"/>
  <c r="G5" i="1" s="1"/>
  <c r="F6" i="1"/>
  <c r="F5" i="1" s="1"/>
  <c r="E6" i="1"/>
  <c r="E5" i="1" s="1"/>
  <c r="D6" i="1"/>
  <c r="D5" i="1" s="1"/>
  <c r="C6" i="1"/>
  <c r="C9" i="1" s="1"/>
  <c r="C71" i="1" s="1"/>
  <c r="B6" i="1"/>
  <c r="B9" i="1" s="1"/>
  <c r="B71" i="1" s="1"/>
  <c r="C62" i="1" l="1"/>
  <c r="C78" i="1" s="1"/>
  <c r="F62" i="1"/>
  <c r="F78" i="1" s="1"/>
  <c r="H71" i="1"/>
  <c r="G9" i="1"/>
  <c r="G71" i="1" s="1"/>
  <c r="E62" i="1"/>
  <c r="E78" i="1" s="1"/>
  <c r="D62" i="1"/>
  <c r="D78" i="1" s="1"/>
  <c r="H62" i="1"/>
  <c r="H78" i="1" s="1"/>
  <c r="B62" i="1"/>
  <c r="B78" i="1" s="1"/>
  <c r="H5" i="1"/>
  <c r="H70" i="1" s="1"/>
  <c r="G70" i="1"/>
  <c r="G79" i="1" s="1"/>
  <c r="E70" i="1"/>
  <c r="B5" i="1"/>
  <c r="B70" i="1" s="1"/>
  <c r="D9" i="1"/>
  <c r="D71" i="1" s="1"/>
  <c r="D70" i="1"/>
  <c r="D79" i="1" s="1"/>
  <c r="E9" i="1"/>
  <c r="E71" i="1" s="1"/>
  <c r="F9" i="1"/>
  <c r="F71" i="1" s="1"/>
  <c r="F70" i="1"/>
  <c r="C5" i="1"/>
  <c r="C70" i="1" s="1"/>
  <c r="C79" i="1" s="1"/>
  <c r="H57" i="12"/>
  <c r="H73" i="12" s="1"/>
  <c r="G57" i="12"/>
  <c r="G73" i="12" s="1"/>
  <c r="F57" i="12"/>
  <c r="F73" i="12" s="1"/>
  <c r="E57" i="12"/>
  <c r="E73" i="12" s="1"/>
  <c r="D57" i="12"/>
  <c r="C57" i="12"/>
  <c r="C73" i="12" s="1"/>
  <c r="B57" i="12"/>
  <c r="B73" i="12" s="1"/>
  <c r="H54" i="12"/>
  <c r="G54" i="12"/>
  <c r="F54" i="12"/>
  <c r="E54" i="12"/>
  <c r="E53" i="12" s="1"/>
  <c r="D54" i="12"/>
  <c r="D53" i="12" s="1"/>
  <c r="B53" i="12"/>
  <c r="C13" i="12"/>
  <c r="B13" i="12"/>
  <c r="C9" i="12"/>
  <c r="B9" i="12"/>
  <c r="G53" i="12" l="1"/>
  <c r="F79" i="1"/>
  <c r="H79" i="1"/>
  <c r="E79" i="1"/>
  <c r="H53" i="12"/>
  <c r="C53" i="12"/>
  <c r="F53" i="12"/>
  <c r="B79" i="1"/>
  <c r="H67" i="11"/>
  <c r="G67" i="11"/>
  <c r="F67" i="11"/>
  <c r="E67" i="11"/>
  <c r="D67" i="11"/>
  <c r="C67" i="11"/>
  <c r="B67" i="11"/>
  <c r="H64" i="11"/>
  <c r="H63" i="11" s="1"/>
  <c r="G64" i="11"/>
  <c r="G63" i="11" s="1"/>
  <c r="F64" i="11"/>
  <c r="F63" i="11" s="1"/>
  <c r="E64" i="11"/>
  <c r="E63" i="11" s="1"/>
  <c r="D64" i="11"/>
  <c r="D63" i="11" s="1"/>
  <c r="C64" i="11"/>
  <c r="C63" i="11" s="1"/>
  <c r="B64" i="11"/>
  <c r="B63" i="11" s="1"/>
  <c r="B62" i="11" s="1"/>
  <c r="H57" i="11"/>
  <c r="H57" i="13" s="1"/>
  <c r="H54" i="11"/>
  <c r="G54" i="11"/>
  <c r="G53" i="11" s="1"/>
  <c r="G38" i="11" s="1"/>
  <c r="F54" i="11"/>
  <c r="F53" i="11" s="1"/>
  <c r="F38" i="11" s="1"/>
  <c r="E54" i="11"/>
  <c r="E53" i="11" s="1"/>
  <c r="E38" i="11" s="1"/>
  <c r="D54" i="11"/>
  <c r="D53" i="11" s="1"/>
  <c r="D38" i="11" s="1"/>
  <c r="C53" i="11"/>
  <c r="B53" i="11"/>
  <c r="B38" i="11" s="1"/>
  <c r="C38" i="11"/>
  <c r="H35" i="11"/>
  <c r="G35" i="11"/>
  <c r="F35" i="11"/>
  <c r="E35" i="11"/>
  <c r="D35" i="11"/>
  <c r="C35" i="11"/>
  <c r="B35" i="11"/>
  <c r="H30" i="11"/>
  <c r="G30" i="11"/>
  <c r="F30" i="11"/>
  <c r="E30" i="11"/>
  <c r="D30" i="11"/>
  <c r="C30" i="11"/>
  <c r="B30" i="11"/>
  <c r="H18" i="11"/>
  <c r="G18" i="11"/>
  <c r="F18" i="11"/>
  <c r="E18" i="11"/>
  <c r="D18" i="11"/>
  <c r="C18" i="11"/>
  <c r="B18" i="11"/>
  <c r="H13" i="11"/>
  <c r="G13" i="11"/>
  <c r="F13" i="11"/>
  <c r="E13" i="11"/>
  <c r="D13" i="11"/>
  <c r="C13" i="11"/>
  <c r="B13" i="11"/>
  <c r="H6" i="11"/>
  <c r="H9" i="11" s="1"/>
  <c r="G6" i="11"/>
  <c r="G9" i="11" s="1"/>
  <c r="F6" i="11"/>
  <c r="F5" i="11" s="1"/>
  <c r="E6" i="11"/>
  <c r="E5" i="11" s="1"/>
  <c r="D6" i="11"/>
  <c r="D9" i="11" s="1"/>
  <c r="C6" i="11"/>
  <c r="C9" i="11" s="1"/>
  <c r="B6" i="11"/>
  <c r="B9" i="11" s="1"/>
  <c r="H53" i="11" l="1"/>
  <c r="H54" i="13"/>
  <c r="H71" i="11"/>
  <c r="H71" i="13" s="1"/>
  <c r="H9" i="13"/>
  <c r="H62" i="11"/>
  <c r="C71" i="11"/>
  <c r="G71" i="11"/>
  <c r="T9" i="11"/>
  <c r="B71" i="11"/>
  <c r="B5" i="11"/>
  <c r="F9" i="11"/>
  <c r="F71" i="11" s="1"/>
  <c r="F62" i="11"/>
  <c r="G62" i="11"/>
  <c r="D62" i="11"/>
  <c r="E62" i="11"/>
  <c r="C62" i="11"/>
  <c r="G5" i="11"/>
  <c r="D5" i="11"/>
  <c r="C5" i="11"/>
  <c r="E9" i="11"/>
  <c r="E71" i="11" s="1"/>
  <c r="H5" i="11"/>
  <c r="H38" i="11" l="1"/>
  <c r="H38" i="13" s="1"/>
  <c r="H70" i="13" s="1"/>
  <c r="H53" i="13"/>
  <c r="I16" i="10"/>
  <c r="J16" i="10"/>
  <c r="K16" i="10"/>
  <c r="L16" i="10"/>
  <c r="I16" i="9"/>
  <c r="J16" i="9"/>
  <c r="K16" i="9"/>
  <c r="L16" i="9"/>
  <c r="G82" i="13"/>
  <c r="F82" i="13"/>
  <c r="E82" i="13"/>
  <c r="D82" i="13"/>
  <c r="C82" i="13"/>
  <c r="H85" i="1"/>
  <c r="G85" i="1"/>
  <c r="F85" i="1"/>
  <c r="E85" i="1"/>
  <c r="D85" i="1"/>
  <c r="C85" i="1"/>
  <c r="B85" i="1"/>
  <c r="U85" i="11"/>
  <c r="Q85" i="11"/>
  <c r="P85" i="11"/>
  <c r="O85" i="11"/>
  <c r="N85" i="11"/>
  <c r="M85" i="11"/>
  <c r="L85" i="11"/>
  <c r="K85" i="11"/>
  <c r="H85" i="11"/>
  <c r="G85" i="11"/>
  <c r="F85" i="11"/>
  <c r="E85" i="11"/>
  <c r="D85" i="11"/>
  <c r="C85" i="11"/>
  <c r="B85" i="11"/>
  <c r="G86" i="13"/>
  <c r="G85" i="13" s="1"/>
  <c r="F86" i="13"/>
  <c r="F85" i="13" s="1"/>
  <c r="E86" i="13"/>
  <c r="E85" i="13" s="1"/>
  <c r="D86" i="13"/>
  <c r="D85" i="13" s="1"/>
  <c r="C86" i="13"/>
  <c r="C85" i="13" s="1"/>
  <c r="B86" i="13"/>
  <c r="B85" i="13" s="1"/>
  <c r="T16" i="11"/>
  <c r="U16" i="11"/>
  <c r="V16" i="11"/>
  <c r="W16" i="11"/>
  <c r="X16" i="11"/>
  <c r="Y16" i="11"/>
  <c r="Z16" i="11"/>
  <c r="L5" i="11"/>
  <c r="I29" i="9"/>
  <c r="J29" i="9"/>
  <c r="K29" i="9"/>
  <c r="L29" i="9"/>
  <c r="Z86" i="11"/>
  <c r="Z85" i="11" s="1"/>
  <c r="Y86" i="11"/>
  <c r="Y85" i="11" s="1"/>
  <c r="X86" i="11"/>
  <c r="X85" i="11" s="1"/>
  <c r="W86" i="11"/>
  <c r="W85" i="11" s="1"/>
  <c r="V86" i="11"/>
  <c r="V85" i="11" s="1"/>
  <c r="U86" i="11"/>
  <c r="T86" i="11"/>
  <c r="T85" i="11" s="1"/>
  <c r="T29" i="11"/>
  <c r="U29" i="11"/>
  <c r="V29" i="11"/>
  <c r="W29" i="11"/>
  <c r="X29" i="11"/>
  <c r="Y29" i="11"/>
  <c r="Z29" i="11"/>
  <c r="H79" i="13" l="1"/>
  <c r="H35" i="12"/>
  <c r="G35" i="12"/>
  <c r="F35" i="12"/>
  <c r="E35" i="12"/>
  <c r="D35" i="12"/>
  <c r="C35" i="12"/>
  <c r="I29" i="10" l="1"/>
  <c r="J29" i="10"/>
  <c r="K29" i="10"/>
  <c r="L29" i="10"/>
  <c r="E20" i="9"/>
  <c r="D20" i="9"/>
  <c r="C20" i="9"/>
  <c r="B20" i="9"/>
  <c r="B29" i="13"/>
  <c r="C29" i="13"/>
  <c r="D29" i="13"/>
  <c r="E29" i="13"/>
  <c r="F29" i="13"/>
  <c r="G29" i="13"/>
  <c r="H20" i="12"/>
  <c r="G20" i="12"/>
  <c r="F20" i="12"/>
  <c r="E20" i="12"/>
  <c r="D20" i="12"/>
  <c r="C20" i="12"/>
  <c r="B20" i="12"/>
  <c r="B51" i="13"/>
  <c r="C51" i="13"/>
  <c r="D51" i="13"/>
  <c r="E51" i="13"/>
  <c r="F51" i="13"/>
  <c r="G51" i="13"/>
  <c r="B52" i="13"/>
  <c r="C52" i="13"/>
  <c r="D52" i="13"/>
  <c r="E52" i="13"/>
  <c r="F52" i="13"/>
  <c r="G52" i="13"/>
  <c r="B53" i="13"/>
  <c r="C53" i="13"/>
  <c r="D53" i="13"/>
  <c r="E53" i="13"/>
  <c r="F53" i="13"/>
  <c r="G53" i="13"/>
  <c r="B54" i="13"/>
  <c r="C54" i="13"/>
  <c r="D54" i="13"/>
  <c r="E54" i="13"/>
  <c r="F54" i="13"/>
  <c r="G54" i="13"/>
  <c r="B55" i="13"/>
  <c r="C55" i="13"/>
  <c r="D55" i="13"/>
  <c r="E55" i="13"/>
  <c r="F55" i="13"/>
  <c r="G55" i="13"/>
  <c r="B56" i="13"/>
  <c r="C56" i="13"/>
  <c r="D56" i="13"/>
  <c r="E56" i="13"/>
  <c r="F56" i="13"/>
  <c r="G56" i="13"/>
  <c r="B57" i="13"/>
  <c r="C57" i="13"/>
  <c r="D57" i="13"/>
  <c r="E57" i="13"/>
  <c r="F57" i="13"/>
  <c r="G57" i="13"/>
  <c r="B58" i="13"/>
  <c r="C58" i="13"/>
  <c r="D58" i="13"/>
  <c r="E58" i="13"/>
  <c r="F58" i="13"/>
  <c r="G58" i="13"/>
  <c r="B59" i="13"/>
  <c r="C59" i="13"/>
  <c r="D59" i="13"/>
  <c r="E59" i="13"/>
  <c r="F59" i="13"/>
  <c r="G59" i="13"/>
  <c r="B60" i="13"/>
  <c r="C60" i="13"/>
  <c r="D60" i="13"/>
  <c r="E60" i="13"/>
  <c r="F60" i="13"/>
  <c r="G60" i="13"/>
  <c r="B61" i="13"/>
  <c r="C61" i="13"/>
  <c r="D61" i="13"/>
  <c r="E61" i="13"/>
  <c r="F61" i="13"/>
  <c r="G61" i="13"/>
  <c r="I51" i="10" l="1"/>
  <c r="J51" i="10"/>
  <c r="K51" i="10"/>
  <c r="L51" i="10"/>
  <c r="I52" i="10"/>
  <c r="J52" i="10"/>
  <c r="K52" i="10"/>
  <c r="L52" i="10"/>
  <c r="I51" i="9"/>
  <c r="J51" i="9"/>
  <c r="K51" i="9"/>
  <c r="L51" i="9"/>
  <c r="I52" i="9"/>
  <c r="J52" i="9"/>
  <c r="K52" i="9"/>
  <c r="L52" i="9"/>
  <c r="T51" i="11" l="1"/>
  <c r="U51" i="11"/>
  <c r="V51" i="11"/>
  <c r="W51" i="11"/>
  <c r="X51" i="11"/>
  <c r="Y51" i="11"/>
  <c r="Z51" i="11"/>
  <c r="Q35" i="11" l="1"/>
  <c r="P35" i="11"/>
  <c r="O35" i="11"/>
  <c r="N35" i="11"/>
  <c r="M35" i="11"/>
  <c r="L35" i="11"/>
  <c r="K35" i="11"/>
  <c r="H75" i="11"/>
  <c r="G75" i="11"/>
  <c r="F75" i="11"/>
  <c r="E75" i="11"/>
  <c r="D75" i="11"/>
  <c r="H75" i="13" l="1"/>
  <c r="C76" i="10"/>
  <c r="B76" i="10"/>
  <c r="E75" i="9"/>
  <c r="D75" i="9"/>
  <c r="C75" i="9"/>
  <c r="B75" i="9"/>
  <c r="D76" i="12" l="1"/>
  <c r="H91" i="11"/>
  <c r="H38" i="12"/>
  <c r="G38" i="12"/>
  <c r="F38" i="12"/>
  <c r="E38" i="12"/>
  <c r="D38" i="12"/>
  <c r="C38" i="12"/>
  <c r="H50" i="3"/>
  <c r="G50" i="3"/>
  <c r="F50" i="3"/>
  <c r="E50" i="3"/>
  <c r="D50" i="3"/>
  <c r="C50" i="3"/>
  <c r="B50" i="3"/>
  <c r="H31" i="3"/>
  <c r="G31" i="3"/>
  <c r="F31" i="3"/>
  <c r="E31" i="3"/>
  <c r="D31" i="3"/>
  <c r="C31" i="3"/>
  <c r="B31" i="3"/>
  <c r="H14" i="3"/>
  <c r="G14" i="3"/>
  <c r="F14" i="3"/>
  <c r="E14" i="3"/>
  <c r="D14" i="3"/>
  <c r="C14" i="3"/>
  <c r="B14" i="3"/>
  <c r="H6" i="3"/>
  <c r="G6" i="3"/>
  <c r="F6" i="3"/>
  <c r="E6" i="3"/>
  <c r="D6" i="3"/>
  <c r="C6" i="3"/>
  <c r="B6" i="3"/>
  <c r="B5" i="3" s="1"/>
  <c r="H81" i="1"/>
  <c r="G81" i="1"/>
  <c r="F81" i="1"/>
  <c r="E81" i="1"/>
  <c r="D81" i="1"/>
  <c r="C81" i="1"/>
  <c r="B81" i="1"/>
  <c r="M20" i="11"/>
  <c r="M71" i="11" s="1"/>
  <c r="F5" i="3" l="1"/>
  <c r="F53" i="3" s="1"/>
  <c r="G5" i="3"/>
  <c r="G53" i="3" s="1"/>
  <c r="H5" i="3"/>
  <c r="H53" i="3" s="1"/>
  <c r="C5" i="3"/>
  <c r="D5" i="3"/>
  <c r="E5" i="3"/>
  <c r="E53" i="3" s="1"/>
  <c r="B35" i="3"/>
  <c r="D53" i="3"/>
  <c r="E74" i="9"/>
  <c r="D74" i="9"/>
  <c r="C74" i="9"/>
  <c r="B74" i="9"/>
  <c r="E38" i="9"/>
  <c r="D38" i="9"/>
  <c r="C38" i="9"/>
  <c r="B38" i="9"/>
  <c r="E38" i="10"/>
  <c r="D38" i="10"/>
  <c r="C38" i="10"/>
  <c r="B38" i="10"/>
  <c r="C75" i="10"/>
  <c r="B75" i="10"/>
  <c r="B53" i="3" l="1"/>
  <c r="C53" i="3"/>
  <c r="H68" i="12" l="1"/>
  <c r="G68" i="12"/>
  <c r="F68" i="12"/>
  <c r="E68" i="12"/>
  <c r="D68" i="12"/>
  <c r="C68" i="12"/>
  <c r="B68" i="12"/>
  <c r="H64" i="12"/>
  <c r="G64" i="12"/>
  <c r="F64" i="12"/>
  <c r="E64" i="12"/>
  <c r="D64" i="12"/>
  <c r="C64" i="12"/>
  <c r="B64" i="12"/>
  <c r="B35" i="12"/>
  <c r="H30" i="12"/>
  <c r="H72" i="12" s="1"/>
  <c r="F30" i="12"/>
  <c r="F72" i="12" s="1"/>
  <c r="E30" i="12"/>
  <c r="E72" i="12" s="1"/>
  <c r="C30" i="12"/>
  <c r="C72" i="12" s="1"/>
  <c r="B30" i="12"/>
  <c r="B72" i="12" s="1"/>
  <c r="C18" i="12"/>
  <c r="B18" i="12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B5" i="12" s="1"/>
  <c r="B63" i="12" l="1"/>
  <c r="B62" i="12" s="1"/>
  <c r="E63" i="12"/>
  <c r="E62" i="12" s="1"/>
  <c r="F63" i="12"/>
  <c r="G63" i="12"/>
  <c r="C63" i="12"/>
  <c r="C62" i="12" s="1"/>
  <c r="D63" i="12"/>
  <c r="D62" i="12" s="1"/>
  <c r="H63" i="12"/>
  <c r="D18" i="12"/>
  <c r="E18" i="12"/>
  <c r="G18" i="12"/>
  <c r="H18" i="12"/>
  <c r="F18" i="12"/>
  <c r="D30" i="12"/>
  <c r="G30" i="12"/>
  <c r="G72" i="12" s="1"/>
  <c r="B38" i="12"/>
  <c r="F62" i="12" l="1"/>
  <c r="G62" i="12"/>
  <c r="H62" i="12"/>
  <c r="Z100" i="11" l="1"/>
  <c r="Z99" i="11"/>
  <c r="Z97" i="11"/>
  <c r="Z96" i="11"/>
  <c r="Z94" i="11"/>
  <c r="Z93" i="11"/>
  <c r="Z89" i="11"/>
  <c r="Z83" i="11"/>
  <c r="Z82" i="11"/>
  <c r="Z69" i="11"/>
  <c r="Z68" i="11"/>
  <c r="Z67" i="11" s="1"/>
  <c r="Z66" i="11"/>
  <c r="Z65" i="11"/>
  <c r="Z61" i="11"/>
  <c r="Z60" i="11"/>
  <c r="Z59" i="11"/>
  <c r="Z58" i="11"/>
  <c r="Z57" i="11"/>
  <c r="Z56" i="11"/>
  <c r="Z55" i="11"/>
  <c r="Z54" i="11"/>
  <c r="Z52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7" i="11"/>
  <c r="Z36" i="11"/>
  <c r="Z34" i="11"/>
  <c r="Z33" i="11"/>
  <c r="Z32" i="11"/>
  <c r="Z31" i="11"/>
  <c r="Z28" i="11"/>
  <c r="Z27" i="11"/>
  <c r="Z26" i="11"/>
  <c r="Z25" i="11"/>
  <c r="Z24" i="11"/>
  <c r="Z23" i="11"/>
  <c r="Z22" i="11"/>
  <c r="Z21" i="11"/>
  <c r="Z19" i="11"/>
  <c r="Z17" i="11"/>
  <c r="Z15" i="11"/>
  <c r="Z14" i="11"/>
  <c r="Z13" i="11"/>
  <c r="Z12" i="11"/>
  <c r="Z11" i="11"/>
  <c r="Z75" i="11" s="1"/>
  <c r="Z10" i="11"/>
  <c r="Z74" i="11" s="1"/>
  <c r="Z8" i="11"/>
  <c r="Z7" i="11"/>
  <c r="Q98" i="11"/>
  <c r="Q95" i="11"/>
  <c r="Q92" i="11"/>
  <c r="Q81" i="11"/>
  <c r="Q67" i="11"/>
  <c r="Q64" i="11"/>
  <c r="Q63" i="11" s="1"/>
  <c r="Q53" i="11"/>
  <c r="Z53" i="11" s="1"/>
  <c r="Q30" i="11"/>
  <c r="Q20" i="11"/>
  <c r="Q71" i="11" s="1"/>
  <c r="Q6" i="11"/>
  <c r="Q5" i="11" s="1"/>
  <c r="H72" i="11"/>
  <c r="H72" i="13" s="1"/>
  <c r="H74" i="11"/>
  <c r="H76" i="11"/>
  <c r="H76" i="13" s="1"/>
  <c r="H81" i="11"/>
  <c r="H74" i="13" l="1"/>
  <c r="Z20" i="11"/>
  <c r="Z18" i="11" s="1"/>
  <c r="Z95" i="11"/>
  <c r="Q91" i="11"/>
  <c r="Z98" i="11"/>
  <c r="Z81" i="11"/>
  <c r="Q38" i="11"/>
  <c r="Z35" i="11"/>
  <c r="Q18" i="11"/>
  <c r="Z92" i="11"/>
  <c r="Q62" i="11"/>
  <c r="Q78" i="11" s="1"/>
  <c r="Z64" i="11"/>
  <c r="Z63" i="11" s="1"/>
  <c r="Z62" i="11" s="1"/>
  <c r="Z78" i="11" s="1"/>
  <c r="Z30" i="11"/>
  <c r="H78" i="11"/>
  <c r="Z38" i="11"/>
  <c r="Z6" i="11"/>
  <c r="Z5" i="11" s="1"/>
  <c r="H70" i="11"/>
  <c r="Z91" i="11" l="1"/>
  <c r="Z9" i="11"/>
  <c r="Z71" i="11" s="1"/>
  <c r="Q70" i="11"/>
  <c r="Q79" i="11" s="1"/>
  <c r="H79" i="11"/>
  <c r="Z70" i="11"/>
  <c r="Z79" i="11" s="1"/>
  <c r="H79" i="12"/>
  <c r="H71" i="12"/>
  <c r="H80" i="12" l="1"/>
  <c r="H61" i="3"/>
  <c r="H59" i="3"/>
  <c r="H58" i="3"/>
  <c r="H57" i="3"/>
  <c r="H56" i="3"/>
  <c r="H66" i="3" l="1"/>
  <c r="H64" i="3"/>
  <c r="G99" i="13" l="1"/>
  <c r="G98" i="13"/>
  <c r="G96" i="13"/>
  <c r="G95" i="13"/>
  <c r="G93" i="13"/>
  <c r="G92" i="13"/>
  <c r="G88" i="13"/>
  <c r="G83" i="13"/>
  <c r="G7" i="13"/>
  <c r="G8" i="13"/>
  <c r="G10" i="13"/>
  <c r="G11" i="13"/>
  <c r="G12" i="13"/>
  <c r="G19" i="13"/>
  <c r="G21" i="13"/>
  <c r="G22" i="13"/>
  <c r="G23" i="13"/>
  <c r="G24" i="13"/>
  <c r="G25" i="13"/>
  <c r="G26" i="13"/>
  <c r="G27" i="13"/>
  <c r="G28" i="13"/>
  <c r="G31" i="13"/>
  <c r="G32" i="13"/>
  <c r="G33" i="13"/>
  <c r="G34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65" i="13"/>
  <c r="G66" i="13"/>
  <c r="G68" i="13"/>
  <c r="G67" i="13" s="1"/>
  <c r="G69" i="13"/>
  <c r="G91" i="13" l="1"/>
  <c r="G20" i="13"/>
  <c r="G18" i="13" s="1"/>
  <c r="G6" i="13"/>
  <c r="G5" i="13" s="1"/>
  <c r="G64" i="13"/>
  <c r="G63" i="13" s="1"/>
  <c r="G62" i="13" s="1"/>
  <c r="G78" i="13" s="1"/>
  <c r="G81" i="13"/>
  <c r="G97" i="13"/>
  <c r="G94" i="13"/>
  <c r="G30" i="13"/>
  <c r="G35" i="13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I47" i="10"/>
  <c r="J47" i="10"/>
  <c r="K47" i="10"/>
  <c r="L47" i="10"/>
  <c r="J13" i="10"/>
  <c r="L13" i="10"/>
  <c r="I14" i="10"/>
  <c r="J14" i="10"/>
  <c r="K14" i="10"/>
  <c r="L14" i="10"/>
  <c r="I15" i="10"/>
  <c r="J15" i="10"/>
  <c r="K15" i="10"/>
  <c r="L15" i="10"/>
  <c r="I43" i="9"/>
  <c r="J43" i="9"/>
  <c r="K43" i="9"/>
  <c r="L43" i="9"/>
  <c r="I44" i="9"/>
  <c r="J44" i="9"/>
  <c r="K44" i="9"/>
  <c r="L44" i="9"/>
  <c r="I45" i="9"/>
  <c r="J45" i="9"/>
  <c r="K45" i="9"/>
  <c r="L45" i="9"/>
  <c r="I14" i="9"/>
  <c r="J14" i="9"/>
  <c r="K14" i="9"/>
  <c r="L14" i="9"/>
  <c r="I15" i="9"/>
  <c r="J15" i="9"/>
  <c r="K15" i="9"/>
  <c r="L15" i="9"/>
  <c r="G70" i="13" l="1"/>
  <c r="G90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T45" i="11"/>
  <c r="U45" i="11"/>
  <c r="V45" i="11"/>
  <c r="W45" i="11"/>
  <c r="X45" i="11"/>
  <c r="Y45" i="11"/>
  <c r="G79" i="13" l="1"/>
  <c r="G74" i="11"/>
  <c r="F74" i="11"/>
  <c r="E74" i="11"/>
  <c r="D74" i="11"/>
  <c r="D75" i="12"/>
  <c r="K13" i="10"/>
  <c r="I13" i="10"/>
  <c r="L13" i="9" l="1"/>
  <c r="X13" i="11"/>
  <c r="G74" i="13"/>
  <c r="G75" i="13"/>
  <c r="Y13" i="11"/>
  <c r="K13" i="9"/>
  <c r="W13" i="11"/>
  <c r="J13" i="9"/>
  <c r="V13" i="11"/>
  <c r="I13" i="9"/>
  <c r="U13" i="11"/>
  <c r="D77" i="12" l="1"/>
  <c r="P6" i="11" l="1"/>
  <c r="P5" i="11" s="1"/>
  <c r="O6" i="11"/>
  <c r="O5" i="11" s="1"/>
  <c r="N6" i="11"/>
  <c r="N5" i="11" s="1"/>
  <c r="B46" i="13" l="1"/>
  <c r="C46" i="13"/>
  <c r="D46" i="13"/>
  <c r="E46" i="13"/>
  <c r="F46" i="13"/>
  <c r="L99" i="9" l="1"/>
  <c r="I99" i="9" s="1"/>
  <c r="K99" i="9"/>
  <c r="J99" i="9"/>
  <c r="L98" i="9"/>
  <c r="K98" i="9"/>
  <c r="J98" i="9"/>
  <c r="I98" i="9"/>
  <c r="L96" i="9"/>
  <c r="I96" i="9" s="1"/>
  <c r="K96" i="9"/>
  <c r="J96" i="9"/>
  <c r="L95" i="9"/>
  <c r="K95" i="9"/>
  <c r="J95" i="9"/>
  <c r="L93" i="9"/>
  <c r="K93" i="9"/>
  <c r="J93" i="9"/>
  <c r="I93" i="9"/>
  <c r="L92" i="9"/>
  <c r="K92" i="9"/>
  <c r="J92" i="9"/>
  <c r="L88" i="9"/>
  <c r="K88" i="9"/>
  <c r="J88" i="9"/>
  <c r="I88" i="9"/>
  <c r="L83" i="9"/>
  <c r="L81" i="9" s="1"/>
  <c r="K83" i="9"/>
  <c r="K81" i="9" s="1"/>
  <c r="J83" i="9"/>
  <c r="J81" i="9" s="1"/>
  <c r="I83" i="9"/>
  <c r="I81" i="9" s="1"/>
  <c r="L69" i="9"/>
  <c r="K69" i="9"/>
  <c r="J69" i="9"/>
  <c r="I69" i="9"/>
  <c r="L68" i="9"/>
  <c r="K68" i="9"/>
  <c r="J68" i="9"/>
  <c r="I68" i="9"/>
  <c r="L66" i="9"/>
  <c r="K66" i="9"/>
  <c r="J66" i="9"/>
  <c r="I66" i="9"/>
  <c r="L65" i="9"/>
  <c r="K65" i="9"/>
  <c r="J65" i="9"/>
  <c r="I65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61" i="9"/>
  <c r="J61" i="9"/>
  <c r="K61" i="9"/>
  <c r="L61" i="9"/>
  <c r="I42" i="9"/>
  <c r="J42" i="9"/>
  <c r="K42" i="9"/>
  <c r="L42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4" i="9"/>
  <c r="J54" i="9"/>
  <c r="K54" i="9"/>
  <c r="L54" i="9"/>
  <c r="L41" i="9"/>
  <c r="K41" i="9"/>
  <c r="J41" i="9"/>
  <c r="I41" i="9"/>
  <c r="L40" i="9"/>
  <c r="K40" i="9"/>
  <c r="J40" i="9"/>
  <c r="I40" i="9"/>
  <c r="L39" i="9"/>
  <c r="K39" i="9"/>
  <c r="J39" i="9"/>
  <c r="I39" i="9"/>
  <c r="L37" i="9"/>
  <c r="K37" i="9"/>
  <c r="J37" i="9"/>
  <c r="I37" i="9"/>
  <c r="L36" i="9"/>
  <c r="K36" i="9"/>
  <c r="J36" i="9"/>
  <c r="I36" i="9"/>
  <c r="L34" i="9"/>
  <c r="K34" i="9"/>
  <c r="J34" i="9"/>
  <c r="I34" i="9"/>
  <c r="L33" i="9"/>
  <c r="K33" i="9"/>
  <c r="J33" i="9"/>
  <c r="I33" i="9"/>
  <c r="L32" i="9"/>
  <c r="K32" i="9"/>
  <c r="J32" i="9"/>
  <c r="I32" i="9"/>
  <c r="L31" i="9"/>
  <c r="K31" i="9"/>
  <c r="J31" i="9"/>
  <c r="I31" i="9"/>
  <c r="L28" i="9"/>
  <c r="K28" i="9"/>
  <c r="J28" i="9"/>
  <c r="I28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L20" i="9" s="1"/>
  <c r="K21" i="9"/>
  <c r="J21" i="9"/>
  <c r="I21" i="9"/>
  <c r="L19" i="9"/>
  <c r="K19" i="9"/>
  <c r="J19" i="9"/>
  <c r="I19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7" i="9"/>
  <c r="K17" i="9"/>
  <c r="L17" i="9"/>
  <c r="I8" i="9"/>
  <c r="I10" i="9"/>
  <c r="I11" i="9"/>
  <c r="I12" i="9"/>
  <c r="I17" i="9"/>
  <c r="I7" i="9"/>
  <c r="L82" i="10"/>
  <c r="K82" i="10"/>
  <c r="J82" i="10"/>
  <c r="I82" i="10"/>
  <c r="L67" i="10"/>
  <c r="K67" i="10"/>
  <c r="J67" i="10"/>
  <c r="I67" i="10"/>
  <c r="L70" i="10"/>
  <c r="K70" i="10"/>
  <c r="J70" i="10"/>
  <c r="I70" i="10"/>
  <c r="L69" i="10"/>
  <c r="K69" i="10"/>
  <c r="J69" i="10"/>
  <c r="I69" i="10"/>
  <c r="L66" i="10"/>
  <c r="K66" i="10"/>
  <c r="J66" i="10"/>
  <c r="I66" i="10"/>
  <c r="L65" i="10"/>
  <c r="K65" i="10"/>
  <c r="J65" i="10"/>
  <c r="I65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61" i="10"/>
  <c r="J61" i="10"/>
  <c r="K61" i="10"/>
  <c r="L61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4" i="10"/>
  <c r="J54" i="10"/>
  <c r="K54" i="10"/>
  <c r="L54" i="10"/>
  <c r="L42" i="10"/>
  <c r="K42" i="10"/>
  <c r="J42" i="10"/>
  <c r="I4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7" i="10"/>
  <c r="K37" i="10"/>
  <c r="J37" i="10"/>
  <c r="I37" i="10"/>
  <c r="L36" i="10"/>
  <c r="K36" i="10"/>
  <c r="J36" i="10"/>
  <c r="I36" i="10"/>
  <c r="L34" i="10"/>
  <c r="K34" i="10"/>
  <c r="J34" i="10"/>
  <c r="I34" i="10"/>
  <c r="L33" i="10"/>
  <c r="K33" i="10"/>
  <c r="J33" i="10"/>
  <c r="I33" i="10"/>
  <c r="L32" i="10"/>
  <c r="K32" i="10"/>
  <c r="J32" i="10"/>
  <c r="I32" i="10"/>
  <c r="L31" i="10"/>
  <c r="K31" i="10"/>
  <c r="J31" i="10"/>
  <c r="I31" i="10"/>
  <c r="L28" i="10"/>
  <c r="K28" i="10"/>
  <c r="J28" i="10"/>
  <c r="I28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L20" i="10" s="1"/>
  <c r="K21" i="10"/>
  <c r="J21" i="10"/>
  <c r="I21" i="10"/>
  <c r="I20" i="10" s="1"/>
  <c r="L19" i="10"/>
  <c r="K19" i="10"/>
  <c r="J19" i="10"/>
  <c r="I19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7" i="10"/>
  <c r="J17" i="10"/>
  <c r="K17" i="10"/>
  <c r="L17" i="10"/>
  <c r="L7" i="10"/>
  <c r="K7" i="10"/>
  <c r="J7" i="10"/>
  <c r="I7" i="10"/>
  <c r="K20" i="9" l="1"/>
  <c r="I20" i="9"/>
  <c r="J20" i="9"/>
  <c r="K20" i="10"/>
  <c r="J20" i="10"/>
  <c r="I95" i="9"/>
  <c r="F99" i="13"/>
  <c r="E99" i="13"/>
  <c r="D99" i="13"/>
  <c r="C99" i="13"/>
  <c r="B99" i="13"/>
  <c r="F98" i="13"/>
  <c r="E98" i="13"/>
  <c r="D98" i="13"/>
  <c r="C98" i="13"/>
  <c r="B98" i="13"/>
  <c r="F96" i="13"/>
  <c r="E96" i="13"/>
  <c r="D96" i="13"/>
  <c r="C96" i="13"/>
  <c r="B96" i="13"/>
  <c r="F95" i="13"/>
  <c r="E95" i="13"/>
  <c r="D95" i="13"/>
  <c r="C95" i="13"/>
  <c r="B95" i="13"/>
  <c r="F93" i="13"/>
  <c r="E93" i="13"/>
  <c r="D93" i="13"/>
  <c r="C93" i="13"/>
  <c r="B93" i="13"/>
  <c r="F92" i="13"/>
  <c r="E92" i="13"/>
  <c r="D92" i="13"/>
  <c r="C92" i="13"/>
  <c r="B92" i="13"/>
  <c r="F88" i="13"/>
  <c r="E88" i="13"/>
  <c r="D88" i="13"/>
  <c r="C88" i="13"/>
  <c r="B88" i="13"/>
  <c r="F83" i="13"/>
  <c r="E83" i="13"/>
  <c r="D83" i="13"/>
  <c r="C83" i="13"/>
  <c r="B83" i="13"/>
  <c r="B82" i="13"/>
  <c r="F69" i="13"/>
  <c r="E69" i="13"/>
  <c r="D69" i="13"/>
  <c r="C69" i="13"/>
  <c r="B69" i="13"/>
  <c r="F68" i="13"/>
  <c r="F67" i="13" s="1"/>
  <c r="E68" i="13"/>
  <c r="E67" i="13" s="1"/>
  <c r="D68" i="13"/>
  <c r="D67" i="13" s="1"/>
  <c r="C68" i="13"/>
  <c r="B68" i="13"/>
  <c r="B67" i="13" s="1"/>
  <c r="F66" i="13"/>
  <c r="E66" i="13"/>
  <c r="D66" i="13"/>
  <c r="C66" i="13"/>
  <c r="B66" i="13"/>
  <c r="F65" i="13"/>
  <c r="E65" i="13"/>
  <c r="D65" i="13"/>
  <c r="C65" i="13"/>
  <c r="B65" i="13"/>
  <c r="B47" i="13"/>
  <c r="C47" i="13"/>
  <c r="D47" i="13"/>
  <c r="E47" i="13"/>
  <c r="F47" i="13"/>
  <c r="B48" i="13"/>
  <c r="C48" i="13"/>
  <c r="D48" i="13"/>
  <c r="E48" i="13"/>
  <c r="F48" i="13"/>
  <c r="B49" i="13"/>
  <c r="C49" i="13"/>
  <c r="D49" i="13"/>
  <c r="E49" i="13"/>
  <c r="F49" i="13"/>
  <c r="B50" i="13"/>
  <c r="C50" i="13"/>
  <c r="D50" i="13"/>
  <c r="E50" i="13"/>
  <c r="F50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7" i="13"/>
  <c r="E37" i="13"/>
  <c r="D37" i="13"/>
  <c r="C37" i="13"/>
  <c r="B37" i="13"/>
  <c r="F36" i="13"/>
  <c r="E36" i="13"/>
  <c r="D36" i="13"/>
  <c r="C36" i="13"/>
  <c r="B36" i="13"/>
  <c r="F34" i="13"/>
  <c r="E34" i="13"/>
  <c r="D34" i="13"/>
  <c r="C34" i="13"/>
  <c r="B34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19" i="13"/>
  <c r="E19" i="13"/>
  <c r="D19" i="13"/>
  <c r="C19" i="13"/>
  <c r="B19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F7" i="13"/>
  <c r="E7" i="13"/>
  <c r="D7" i="13"/>
  <c r="C7" i="13"/>
  <c r="B7" i="13"/>
  <c r="Y12" i="11"/>
  <c r="X12" i="11"/>
  <c r="W12" i="11"/>
  <c r="D73" i="12"/>
  <c r="Y100" i="11"/>
  <c r="X100" i="11"/>
  <c r="W100" i="11"/>
  <c r="V100" i="11"/>
  <c r="U100" i="11"/>
  <c r="T100" i="11"/>
  <c r="Y99" i="11"/>
  <c r="X99" i="11"/>
  <c r="W99" i="11"/>
  <c r="V99" i="11"/>
  <c r="U99" i="11"/>
  <c r="T99" i="11"/>
  <c r="P98" i="11"/>
  <c r="O98" i="11"/>
  <c r="N98" i="11"/>
  <c r="M98" i="11"/>
  <c r="L98" i="11"/>
  <c r="K98" i="11"/>
  <c r="Y97" i="11"/>
  <c r="X97" i="11"/>
  <c r="W97" i="11"/>
  <c r="V97" i="11"/>
  <c r="U97" i="11"/>
  <c r="T97" i="11"/>
  <c r="Y96" i="11"/>
  <c r="X96" i="11"/>
  <c r="W96" i="11"/>
  <c r="V96" i="11"/>
  <c r="U96" i="11"/>
  <c r="T96" i="11"/>
  <c r="P95" i="11"/>
  <c r="O95" i="11"/>
  <c r="N95" i="11"/>
  <c r="M95" i="11"/>
  <c r="L95" i="11"/>
  <c r="K95" i="1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89" i="11"/>
  <c r="X89" i="11"/>
  <c r="W89" i="11"/>
  <c r="V89" i="11"/>
  <c r="U89" i="11"/>
  <c r="T89" i="11"/>
  <c r="Y83" i="11"/>
  <c r="X83" i="11"/>
  <c r="W83" i="11"/>
  <c r="V83" i="11"/>
  <c r="U83" i="11"/>
  <c r="T83" i="11"/>
  <c r="Y82" i="11"/>
  <c r="X82" i="11"/>
  <c r="W82" i="11"/>
  <c r="V82" i="11"/>
  <c r="U82" i="11"/>
  <c r="T82" i="11"/>
  <c r="P81" i="11"/>
  <c r="O81" i="11"/>
  <c r="N81" i="11"/>
  <c r="M81" i="11"/>
  <c r="L81" i="11"/>
  <c r="K81" i="11"/>
  <c r="G81" i="11"/>
  <c r="F81" i="11"/>
  <c r="E81" i="11"/>
  <c r="D81" i="11"/>
  <c r="C81" i="11"/>
  <c r="B81" i="11"/>
  <c r="C77" i="11"/>
  <c r="B77" i="11"/>
  <c r="G76" i="11"/>
  <c r="F76" i="11"/>
  <c r="E76" i="11"/>
  <c r="D76" i="11"/>
  <c r="C76" i="11"/>
  <c r="B76" i="11"/>
  <c r="G72" i="11"/>
  <c r="F72" i="11"/>
  <c r="E72" i="11"/>
  <c r="D72" i="11"/>
  <c r="C72" i="11"/>
  <c r="B72" i="11"/>
  <c r="Y69" i="11"/>
  <c r="X69" i="11"/>
  <c r="W69" i="11"/>
  <c r="V69" i="11"/>
  <c r="U69" i="11"/>
  <c r="T69" i="11"/>
  <c r="Y68" i="11"/>
  <c r="Y67" i="11" s="1"/>
  <c r="X68" i="11"/>
  <c r="X67" i="11" s="1"/>
  <c r="W68" i="11"/>
  <c r="W67" i="11" s="1"/>
  <c r="V68" i="11"/>
  <c r="V67" i="11" s="1"/>
  <c r="U68" i="11"/>
  <c r="U67" i="11" s="1"/>
  <c r="T68" i="11"/>
  <c r="T67" i="11" s="1"/>
  <c r="P67" i="11"/>
  <c r="O67" i="11"/>
  <c r="N67" i="11"/>
  <c r="M67" i="11"/>
  <c r="L67" i="11"/>
  <c r="K67" i="11"/>
  <c r="Y66" i="11"/>
  <c r="X66" i="11"/>
  <c r="W66" i="11"/>
  <c r="V66" i="11"/>
  <c r="U66" i="11"/>
  <c r="T66" i="11"/>
  <c r="Y65" i="11"/>
  <c r="X65" i="11"/>
  <c r="W65" i="11"/>
  <c r="V65" i="11"/>
  <c r="U65" i="11"/>
  <c r="T65" i="11"/>
  <c r="P64" i="11"/>
  <c r="P63" i="11" s="1"/>
  <c r="O64" i="11"/>
  <c r="O63" i="11" s="1"/>
  <c r="N64" i="11"/>
  <c r="N63" i="11" s="1"/>
  <c r="M64" i="11"/>
  <c r="M63" i="11" s="1"/>
  <c r="L64" i="11"/>
  <c r="L63" i="11" s="1"/>
  <c r="K64" i="11"/>
  <c r="K63" i="11" s="1"/>
  <c r="B78" i="11"/>
  <c r="Y61" i="11"/>
  <c r="X61" i="11"/>
  <c r="W61" i="11"/>
  <c r="V61" i="11"/>
  <c r="U61" i="11"/>
  <c r="T61" i="1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P53" i="11"/>
  <c r="Y53" i="11" s="1"/>
  <c r="O53" i="11"/>
  <c r="O38" i="11" s="1"/>
  <c r="N53" i="11"/>
  <c r="W53" i="11" s="1"/>
  <c r="M53" i="11"/>
  <c r="V53" i="11" s="1"/>
  <c r="L53" i="11"/>
  <c r="U53" i="11" s="1"/>
  <c r="K53" i="11"/>
  <c r="T53" i="11" s="1"/>
  <c r="Y52" i="11"/>
  <c r="X52" i="11"/>
  <c r="W52" i="11"/>
  <c r="V52" i="11"/>
  <c r="U52" i="11"/>
  <c r="T52" i="1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T46" i="11"/>
  <c r="Y46" i="11"/>
  <c r="X46" i="11"/>
  <c r="W46" i="11"/>
  <c r="V46" i="11"/>
  <c r="U46" i="11"/>
  <c r="Y42" i="11"/>
  <c r="X42" i="11"/>
  <c r="W42" i="11"/>
  <c r="V42" i="11"/>
  <c r="U42" i="11"/>
  <c r="T42" i="1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7" i="11"/>
  <c r="X37" i="11"/>
  <c r="W37" i="11"/>
  <c r="V37" i="11"/>
  <c r="U37" i="11"/>
  <c r="T37" i="11"/>
  <c r="Y36" i="11"/>
  <c r="X36" i="11"/>
  <c r="W36" i="11"/>
  <c r="V36" i="11"/>
  <c r="U36" i="11"/>
  <c r="T36" i="11"/>
  <c r="Y34" i="11"/>
  <c r="X34" i="11"/>
  <c r="W34" i="11"/>
  <c r="V34" i="11"/>
  <c r="U34" i="11"/>
  <c r="T34" i="11"/>
  <c r="Y33" i="11"/>
  <c r="X33" i="11"/>
  <c r="W33" i="11"/>
  <c r="V33" i="11"/>
  <c r="U33" i="11"/>
  <c r="T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P30" i="11"/>
  <c r="O30" i="11"/>
  <c r="N30" i="11"/>
  <c r="M30" i="11"/>
  <c r="L30" i="11"/>
  <c r="K30" i="11"/>
  <c r="Y28" i="11"/>
  <c r="X28" i="11"/>
  <c r="W28" i="11"/>
  <c r="V28" i="11"/>
  <c r="U28" i="11"/>
  <c r="T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P20" i="11"/>
  <c r="P71" i="11" s="1"/>
  <c r="O20" i="11"/>
  <c r="O71" i="11" s="1"/>
  <c r="N20" i="11"/>
  <c r="N71" i="11" s="1"/>
  <c r="Y19" i="11"/>
  <c r="X19" i="11"/>
  <c r="W19" i="11"/>
  <c r="V19" i="11"/>
  <c r="U19" i="11"/>
  <c r="T19" i="11"/>
  <c r="Y17" i="11"/>
  <c r="X17" i="11"/>
  <c r="W17" i="11"/>
  <c r="V17" i="11"/>
  <c r="U17" i="11"/>
  <c r="T17" i="11"/>
  <c r="V12" i="11"/>
  <c r="U12" i="11"/>
  <c r="T12" i="11"/>
  <c r="T5" i="11" s="1"/>
  <c r="Y11" i="11"/>
  <c r="Y75" i="11" s="1"/>
  <c r="X11" i="11"/>
  <c r="X75" i="11" s="1"/>
  <c r="W11" i="11"/>
  <c r="W75" i="11" s="1"/>
  <c r="V11" i="11"/>
  <c r="V75" i="11" s="1"/>
  <c r="U11" i="11"/>
  <c r="T11" i="11"/>
  <c r="Y10" i="11"/>
  <c r="Y74" i="11" s="1"/>
  <c r="X10" i="11"/>
  <c r="X74" i="11" s="1"/>
  <c r="W10" i="11"/>
  <c r="W74" i="11" s="1"/>
  <c r="V10" i="11"/>
  <c r="V74" i="11" s="1"/>
  <c r="U10" i="11"/>
  <c r="T10" i="11"/>
  <c r="Y8" i="11"/>
  <c r="X8" i="11"/>
  <c r="W8" i="11"/>
  <c r="V8" i="11"/>
  <c r="U8" i="11"/>
  <c r="Y7" i="11"/>
  <c r="X7" i="11"/>
  <c r="W7" i="11"/>
  <c r="V7" i="11"/>
  <c r="U7" i="11"/>
  <c r="M6" i="11"/>
  <c r="M5" i="11" s="1"/>
  <c r="L6" i="11"/>
  <c r="K6" i="11"/>
  <c r="K5" i="11" s="1"/>
  <c r="C67" i="13" l="1"/>
  <c r="Y20" i="11"/>
  <c r="Y18" i="11" s="1"/>
  <c r="V20" i="11"/>
  <c r="V18" i="11" s="1"/>
  <c r="C20" i="13"/>
  <c r="W20" i="11"/>
  <c r="W18" i="11" s="1"/>
  <c r="D20" i="13"/>
  <c r="D18" i="13" s="1"/>
  <c r="X20" i="11"/>
  <c r="X18" i="11" s="1"/>
  <c r="E20" i="13"/>
  <c r="E18" i="13" s="1"/>
  <c r="F20" i="13"/>
  <c r="F18" i="13" s="1"/>
  <c r="T20" i="11"/>
  <c r="T18" i="11" s="1"/>
  <c r="U20" i="11"/>
  <c r="B20" i="13"/>
  <c r="B18" i="13" s="1"/>
  <c r="E97" i="13"/>
  <c r="I92" i="9"/>
  <c r="P38" i="11"/>
  <c r="E81" i="13"/>
  <c r="C91" i="13"/>
  <c r="D91" i="13"/>
  <c r="M62" i="11"/>
  <c r="M78" i="11" s="1"/>
  <c r="L62" i="11"/>
  <c r="N91" i="11"/>
  <c r="P62" i="11"/>
  <c r="P78" i="11" s="1"/>
  <c r="D64" i="13"/>
  <c r="D63" i="13" s="1"/>
  <c r="D62" i="13" s="1"/>
  <c r="D78" i="13" s="1"/>
  <c r="O62" i="11"/>
  <c r="O78" i="11" s="1"/>
  <c r="C6" i="13"/>
  <c r="B94" i="13"/>
  <c r="U64" i="11"/>
  <c r="U63" i="11" s="1"/>
  <c r="U62" i="11" s="1"/>
  <c r="G72" i="13"/>
  <c r="M18" i="11"/>
  <c r="L18" i="11"/>
  <c r="G76" i="13"/>
  <c r="Y81" i="11"/>
  <c r="G9" i="13"/>
  <c r="T64" i="11"/>
  <c r="T63" i="11" s="1"/>
  <c r="T62" i="11" s="1"/>
  <c r="G70" i="11"/>
  <c r="G77" i="13"/>
  <c r="C81" i="13"/>
  <c r="C64" i="13"/>
  <c r="C79" i="12"/>
  <c r="C78" i="11"/>
  <c r="P18" i="11"/>
  <c r="O18" i="11"/>
  <c r="O70" i="11" s="1"/>
  <c r="N18" i="11"/>
  <c r="M91" i="11"/>
  <c r="U92" i="11"/>
  <c r="X98" i="11"/>
  <c r="B81" i="13"/>
  <c r="D71" i="12"/>
  <c r="U98" i="11"/>
  <c r="T92" i="11"/>
  <c r="U95" i="11"/>
  <c r="E94" i="13"/>
  <c r="C97" i="13"/>
  <c r="F81" i="13"/>
  <c r="U35" i="11"/>
  <c r="K91" i="11"/>
  <c r="V92" i="11"/>
  <c r="K38" i="11"/>
  <c r="N62" i="11"/>
  <c r="N78" i="11" s="1"/>
  <c r="T81" i="11"/>
  <c r="L91" i="11"/>
  <c r="W92" i="11"/>
  <c r="O91" i="11"/>
  <c r="E64" i="13"/>
  <c r="E63" i="13" s="1"/>
  <c r="E62" i="13" s="1"/>
  <c r="E78" i="13" s="1"/>
  <c r="B91" i="13"/>
  <c r="F97" i="13"/>
  <c r="L38" i="11"/>
  <c r="T30" i="11"/>
  <c r="M38" i="11"/>
  <c r="B64" i="13"/>
  <c r="B63" i="13" s="1"/>
  <c r="B62" i="13" s="1"/>
  <c r="B78" i="13" s="1"/>
  <c r="N38" i="11"/>
  <c r="X95" i="11"/>
  <c r="T98" i="11"/>
  <c r="V98" i="11"/>
  <c r="P91" i="11"/>
  <c r="W98" i="11"/>
  <c r="K62" i="11"/>
  <c r="X6" i="11"/>
  <c r="X5" i="11" s="1"/>
  <c r="D70" i="11"/>
  <c r="B79" i="12"/>
  <c r="B35" i="13"/>
  <c r="W95" i="11"/>
  <c r="V95" i="11"/>
  <c r="Y95" i="11"/>
  <c r="F78" i="11"/>
  <c r="D78" i="11"/>
  <c r="E78" i="11"/>
  <c r="V64" i="11"/>
  <c r="V63" i="11" s="1"/>
  <c r="V62" i="11" s="1"/>
  <c r="V78" i="11" s="1"/>
  <c r="W64" i="11"/>
  <c r="W63" i="11" s="1"/>
  <c r="W62" i="11" s="1"/>
  <c r="W78" i="11" s="1"/>
  <c r="Y64" i="11"/>
  <c r="Y63" i="11" s="1"/>
  <c r="Y62" i="11" s="1"/>
  <c r="Y78" i="11" s="1"/>
  <c r="V30" i="11"/>
  <c r="F6" i="13"/>
  <c r="F5" i="13" s="1"/>
  <c r="E6" i="13"/>
  <c r="E5" i="13" s="1"/>
  <c r="F64" i="13"/>
  <c r="F63" i="13" s="1"/>
  <c r="F62" i="13" s="1"/>
  <c r="F78" i="13" s="1"/>
  <c r="D6" i="13"/>
  <c r="D5" i="13" s="1"/>
  <c r="B6" i="13"/>
  <c r="B5" i="13" s="1"/>
  <c r="D79" i="12"/>
  <c r="Y6" i="11"/>
  <c r="Y5" i="11" s="1"/>
  <c r="X35" i="11"/>
  <c r="T95" i="11"/>
  <c r="X92" i="11"/>
  <c r="Y92" i="11"/>
  <c r="Y98" i="11"/>
  <c r="V81" i="11"/>
  <c r="W81" i="11"/>
  <c r="X81" i="11"/>
  <c r="U81" i="11"/>
  <c r="G78" i="11"/>
  <c r="X64" i="11"/>
  <c r="X63" i="11" s="1"/>
  <c r="X62" i="11" s="1"/>
  <c r="X78" i="11" s="1"/>
  <c r="Y38" i="11"/>
  <c r="T38" i="11"/>
  <c r="U38" i="11"/>
  <c r="V38" i="11"/>
  <c r="W38" i="11"/>
  <c r="D35" i="13"/>
  <c r="W35" i="11"/>
  <c r="X30" i="11"/>
  <c r="D30" i="13"/>
  <c r="Y30" i="11"/>
  <c r="U30" i="11"/>
  <c r="E30" i="13"/>
  <c r="U18" i="11"/>
  <c r="U6" i="11"/>
  <c r="U5" i="11" s="1"/>
  <c r="L9" i="9"/>
  <c r="F91" i="13"/>
  <c r="D81" i="13"/>
  <c r="F94" i="13"/>
  <c r="D97" i="13"/>
  <c r="E91" i="13"/>
  <c r="B97" i="13"/>
  <c r="E79" i="12"/>
  <c r="F79" i="12"/>
  <c r="G79" i="12"/>
  <c r="C94" i="13"/>
  <c r="E35" i="13"/>
  <c r="D94" i="13"/>
  <c r="B30" i="13"/>
  <c r="F30" i="13"/>
  <c r="C35" i="13"/>
  <c r="F35" i="13"/>
  <c r="C30" i="13"/>
  <c r="W30" i="11"/>
  <c r="V35" i="11"/>
  <c r="V6" i="11"/>
  <c r="V5" i="11" s="1"/>
  <c r="T35" i="11"/>
  <c r="W6" i="11"/>
  <c r="W5" i="11" s="1"/>
  <c r="Y35" i="11"/>
  <c r="B71" i="12"/>
  <c r="X9" i="11"/>
  <c r="Y9" i="11"/>
  <c r="Y71" i="11" s="1"/>
  <c r="K18" i="11"/>
  <c r="X53" i="11"/>
  <c r="X38" i="11" s="1"/>
  <c r="E70" i="11"/>
  <c r="F70" i="11"/>
  <c r="C18" i="13" l="1"/>
  <c r="C63" i="13"/>
  <c r="C5" i="13"/>
  <c r="X71" i="11"/>
  <c r="P70" i="11"/>
  <c r="P79" i="11" s="1"/>
  <c r="L70" i="11"/>
  <c r="L79" i="11" s="1"/>
  <c r="O79" i="11"/>
  <c r="M70" i="11"/>
  <c r="M79" i="11" s="1"/>
  <c r="F71" i="12"/>
  <c r="G71" i="12"/>
  <c r="E71" i="12"/>
  <c r="Y91" i="11"/>
  <c r="B70" i="11"/>
  <c r="B90" i="13"/>
  <c r="D79" i="11"/>
  <c r="B9" i="13"/>
  <c r="T91" i="11"/>
  <c r="G73" i="13"/>
  <c r="C71" i="12"/>
  <c r="G71" i="13"/>
  <c r="C70" i="11"/>
  <c r="K70" i="11"/>
  <c r="K79" i="11" s="1"/>
  <c r="N70" i="11"/>
  <c r="N79" i="11" s="1"/>
  <c r="C90" i="13"/>
  <c r="U91" i="11"/>
  <c r="W91" i="11"/>
  <c r="F79" i="11"/>
  <c r="E9" i="13"/>
  <c r="V9" i="11"/>
  <c r="V71" i="11" s="1"/>
  <c r="K9" i="9"/>
  <c r="I9" i="9"/>
  <c r="D9" i="13"/>
  <c r="C9" i="13"/>
  <c r="U9" i="11"/>
  <c r="J9" i="9"/>
  <c r="F9" i="13"/>
  <c r="B80" i="12"/>
  <c r="E90" i="13"/>
  <c r="X91" i="11"/>
  <c r="V91" i="11"/>
  <c r="T70" i="11"/>
  <c r="T79" i="11" s="1"/>
  <c r="E79" i="11"/>
  <c r="D90" i="13"/>
  <c r="G79" i="11"/>
  <c r="D80" i="12"/>
  <c r="F90" i="13"/>
  <c r="W70" i="11"/>
  <c r="W79" i="11" s="1"/>
  <c r="V70" i="11"/>
  <c r="V79" i="11" s="1"/>
  <c r="X70" i="11"/>
  <c r="X79" i="11" s="1"/>
  <c r="U70" i="11"/>
  <c r="U79" i="11" s="1"/>
  <c r="Y70" i="11"/>
  <c r="Y79" i="11" s="1"/>
  <c r="W9" i="11"/>
  <c r="W71" i="11" s="1"/>
  <c r="L68" i="10"/>
  <c r="K68" i="10"/>
  <c r="J68" i="10"/>
  <c r="I68" i="10"/>
  <c r="L64" i="10"/>
  <c r="L63" i="10" s="1"/>
  <c r="K64" i="10"/>
  <c r="K63" i="10" s="1"/>
  <c r="L35" i="10"/>
  <c r="K35" i="10"/>
  <c r="L30" i="10"/>
  <c r="K6" i="10"/>
  <c r="K5" i="10" s="1"/>
  <c r="K18" i="10"/>
  <c r="L97" i="9"/>
  <c r="K97" i="9"/>
  <c r="J97" i="9"/>
  <c r="I94" i="9"/>
  <c r="L67" i="9"/>
  <c r="J67" i="9"/>
  <c r="I67" i="9"/>
  <c r="I35" i="9"/>
  <c r="J35" i="9"/>
  <c r="J30" i="9"/>
  <c r="L78" i="10"/>
  <c r="K78" i="10"/>
  <c r="J78" i="10"/>
  <c r="B78" i="10"/>
  <c r="I78" i="10" s="1"/>
  <c r="L77" i="10"/>
  <c r="K77" i="10"/>
  <c r="C77" i="10"/>
  <c r="J77" i="10" s="1"/>
  <c r="B77" i="10"/>
  <c r="I77" i="10" s="1"/>
  <c r="L76" i="10"/>
  <c r="K76" i="10"/>
  <c r="J76" i="10"/>
  <c r="I76" i="10"/>
  <c r="L75" i="10"/>
  <c r="K75" i="10"/>
  <c r="J75" i="10"/>
  <c r="I75" i="10"/>
  <c r="C73" i="10"/>
  <c r="B73" i="10"/>
  <c r="E68" i="10"/>
  <c r="D68" i="10"/>
  <c r="C68" i="10"/>
  <c r="B68" i="10"/>
  <c r="E64" i="10"/>
  <c r="E63" i="10" s="1"/>
  <c r="D64" i="10"/>
  <c r="D63" i="10" s="1"/>
  <c r="C64" i="10"/>
  <c r="C63" i="10" s="1"/>
  <c r="B64" i="10"/>
  <c r="B63" i="10" s="1"/>
  <c r="E30" i="10"/>
  <c r="D30" i="10"/>
  <c r="C30" i="10"/>
  <c r="B30" i="10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91" i="9"/>
  <c r="E81" i="9"/>
  <c r="D81" i="9"/>
  <c r="C81" i="9"/>
  <c r="B81" i="9"/>
  <c r="L77" i="9"/>
  <c r="K77" i="9"/>
  <c r="J77" i="9"/>
  <c r="B77" i="9"/>
  <c r="I77" i="9" s="1"/>
  <c r="E76" i="9"/>
  <c r="L76" i="9" s="1"/>
  <c r="D76" i="9"/>
  <c r="K76" i="9" s="1"/>
  <c r="C76" i="9"/>
  <c r="J76" i="9" s="1"/>
  <c r="B76" i="9"/>
  <c r="I76" i="9" s="1"/>
  <c r="L75" i="9"/>
  <c r="K75" i="9"/>
  <c r="J75" i="9"/>
  <c r="I75" i="9"/>
  <c r="L74" i="9"/>
  <c r="K74" i="9"/>
  <c r="J74" i="9"/>
  <c r="I74" i="9"/>
  <c r="E72" i="9"/>
  <c r="L72" i="9" s="1"/>
  <c r="D72" i="9"/>
  <c r="K72" i="9" s="1"/>
  <c r="C72" i="9"/>
  <c r="J72" i="9" s="1"/>
  <c r="B72" i="9"/>
  <c r="I72" i="9" s="1"/>
  <c r="K67" i="9"/>
  <c r="E67" i="9"/>
  <c r="D67" i="9"/>
  <c r="C67" i="9"/>
  <c r="B67" i="9"/>
  <c r="K64" i="9"/>
  <c r="K63" i="9" s="1"/>
  <c r="E64" i="9"/>
  <c r="E63" i="9" s="1"/>
  <c r="D64" i="9"/>
  <c r="D63" i="9" s="1"/>
  <c r="C64" i="9"/>
  <c r="C63" i="9" s="1"/>
  <c r="B64" i="9"/>
  <c r="B63" i="9" s="1"/>
  <c r="I53" i="9"/>
  <c r="L35" i="9"/>
  <c r="E35" i="9"/>
  <c r="D35" i="9"/>
  <c r="C35" i="9"/>
  <c r="B35" i="9"/>
  <c r="E30" i="9"/>
  <c r="E71" i="9" s="1"/>
  <c r="D30" i="9"/>
  <c r="D71" i="9" s="1"/>
  <c r="C30" i="9"/>
  <c r="C71" i="9" s="1"/>
  <c r="B30" i="9"/>
  <c r="B71" i="9" s="1"/>
  <c r="E6" i="9"/>
  <c r="E5" i="9" s="1"/>
  <c r="D6" i="9"/>
  <c r="D5" i="9" s="1"/>
  <c r="C6" i="9"/>
  <c r="C5" i="9" s="1"/>
  <c r="B6" i="9"/>
  <c r="B5" i="9" s="1"/>
  <c r="C62" i="13" l="1"/>
  <c r="C79" i="11"/>
  <c r="B79" i="11"/>
  <c r="I38" i="9"/>
  <c r="I71" i="9"/>
  <c r="C80" i="12"/>
  <c r="B18" i="10"/>
  <c r="C18" i="10"/>
  <c r="C71" i="10" s="1"/>
  <c r="J72" i="10"/>
  <c r="K72" i="10"/>
  <c r="E18" i="10"/>
  <c r="E71" i="10" s="1"/>
  <c r="L72" i="10"/>
  <c r="B18" i="9"/>
  <c r="B70" i="9" s="1"/>
  <c r="C62" i="10"/>
  <c r="C79" i="10" s="1"/>
  <c r="J79" i="10" s="1"/>
  <c r="E80" i="12"/>
  <c r="G80" i="12"/>
  <c r="F80" i="12"/>
  <c r="E62" i="9"/>
  <c r="E78" i="9" s="1"/>
  <c r="D62" i="9"/>
  <c r="D78" i="9" s="1"/>
  <c r="I53" i="10"/>
  <c r="I38" i="10" s="1"/>
  <c r="J53" i="10"/>
  <c r="J38" i="10" s="1"/>
  <c r="K53" i="10"/>
  <c r="K38" i="10" s="1"/>
  <c r="L53" i="10"/>
  <c r="L38" i="10" s="1"/>
  <c r="I74" i="10"/>
  <c r="I73" i="10"/>
  <c r="J74" i="10"/>
  <c r="J73" i="10"/>
  <c r="D62" i="10"/>
  <c r="D79" i="10" s="1"/>
  <c r="K79" i="10" s="1"/>
  <c r="K74" i="10"/>
  <c r="K73" i="10"/>
  <c r="L74" i="10"/>
  <c r="L73" i="10"/>
  <c r="J53" i="9"/>
  <c r="K53" i="9"/>
  <c r="L53" i="9"/>
  <c r="J71" i="9"/>
  <c r="B62" i="9"/>
  <c r="B78" i="9" s="1"/>
  <c r="K71" i="9"/>
  <c r="C62" i="9"/>
  <c r="C78" i="9" s="1"/>
  <c r="K18" i="9"/>
  <c r="J30" i="10"/>
  <c r="I18" i="10"/>
  <c r="E62" i="10"/>
  <c r="E79" i="10" s="1"/>
  <c r="L79" i="10" s="1"/>
  <c r="L6" i="10"/>
  <c r="L5" i="10" s="1"/>
  <c r="J6" i="10"/>
  <c r="J5" i="10" s="1"/>
  <c r="J35" i="10"/>
  <c r="I64" i="10"/>
  <c r="I63" i="10" s="1"/>
  <c r="I62" i="10" s="1"/>
  <c r="I35" i="10"/>
  <c r="I6" i="10"/>
  <c r="I5" i="10" s="1"/>
  <c r="K30" i="10"/>
  <c r="J64" i="10"/>
  <c r="J63" i="10" s="1"/>
  <c r="J62" i="10" s="1"/>
  <c r="L18" i="10"/>
  <c r="J18" i="10"/>
  <c r="I30" i="10"/>
  <c r="L62" i="10"/>
  <c r="K62" i="10"/>
  <c r="I72" i="10"/>
  <c r="B71" i="10"/>
  <c r="B62" i="10"/>
  <c r="B79" i="10" s="1"/>
  <c r="I79" i="10" s="1"/>
  <c r="D18" i="10"/>
  <c r="J6" i="9"/>
  <c r="J5" i="9" s="1"/>
  <c r="I64" i="9"/>
  <c r="I63" i="9" s="1"/>
  <c r="I62" i="9" s="1"/>
  <c r="I78" i="9" s="1"/>
  <c r="K94" i="9"/>
  <c r="K62" i="9"/>
  <c r="K78" i="9" s="1"/>
  <c r="L64" i="9"/>
  <c r="L63" i="9" s="1"/>
  <c r="L62" i="9" s="1"/>
  <c r="L78" i="9" s="1"/>
  <c r="D18" i="9"/>
  <c r="D70" i="9" s="1"/>
  <c r="L30" i="9"/>
  <c r="K35" i="9"/>
  <c r="C18" i="9"/>
  <c r="C70" i="9" s="1"/>
  <c r="J64" i="9"/>
  <c r="J63" i="9" s="1"/>
  <c r="J62" i="9" s="1"/>
  <c r="J78" i="9" s="1"/>
  <c r="I73" i="9"/>
  <c r="K6" i="9"/>
  <c r="K5" i="9" s="1"/>
  <c r="L71" i="9"/>
  <c r="J18" i="9"/>
  <c r="L73" i="9"/>
  <c r="L6" i="9"/>
  <c r="L5" i="9" s="1"/>
  <c r="E18" i="9"/>
  <c r="J91" i="9"/>
  <c r="I97" i="9"/>
  <c r="I90" i="9" s="1"/>
  <c r="I18" i="9"/>
  <c r="I6" i="9"/>
  <c r="I5" i="9" s="1"/>
  <c r="L18" i="9"/>
  <c r="K91" i="9"/>
  <c r="J94" i="9"/>
  <c r="L94" i="9"/>
  <c r="I30" i="9"/>
  <c r="K30" i="9"/>
  <c r="L91" i="9"/>
  <c r="J73" i="9"/>
  <c r="K73" i="9"/>
  <c r="C78" i="13" l="1"/>
  <c r="J38" i="9"/>
  <c r="J70" i="9" s="1"/>
  <c r="K38" i="9"/>
  <c r="K70" i="9" s="1"/>
  <c r="L38" i="9"/>
  <c r="L70" i="9" s="1"/>
  <c r="D79" i="9"/>
  <c r="B79" i="9"/>
  <c r="C80" i="10"/>
  <c r="K90" i="9"/>
  <c r="E80" i="10"/>
  <c r="D71" i="10"/>
  <c r="C79" i="9"/>
  <c r="E70" i="9"/>
  <c r="K71" i="10"/>
  <c r="I71" i="10"/>
  <c r="L71" i="10"/>
  <c r="J71" i="10"/>
  <c r="B80" i="10"/>
  <c r="L90" i="9"/>
  <c r="I70" i="9"/>
  <c r="J90" i="9"/>
  <c r="L79" i="9" l="1"/>
  <c r="K79" i="9"/>
  <c r="J79" i="9"/>
  <c r="E79" i="9"/>
  <c r="D80" i="10"/>
  <c r="I79" i="9"/>
  <c r="F38" i="13"/>
  <c r="F70" i="13" s="1"/>
  <c r="E38" i="13"/>
  <c r="E70" i="13" s="1"/>
  <c r="D38" i="13"/>
  <c r="D70" i="13" s="1"/>
  <c r="C38" i="13"/>
  <c r="B38" i="13"/>
  <c r="B70" i="13" s="1"/>
  <c r="C70" i="13" l="1"/>
  <c r="E79" i="13"/>
  <c r="C79" i="13"/>
  <c r="D79" i="13"/>
  <c r="F79" i="13"/>
  <c r="B79" i="13"/>
  <c r="F77" i="13"/>
  <c r="E77" i="13"/>
  <c r="D77" i="13"/>
  <c r="C77" i="13"/>
  <c r="B77" i="13"/>
  <c r="F76" i="13"/>
  <c r="E76" i="13"/>
  <c r="D76" i="13"/>
  <c r="C76" i="13"/>
  <c r="B76" i="13"/>
  <c r="F75" i="13"/>
  <c r="E75" i="13"/>
  <c r="D75" i="13"/>
  <c r="C75" i="13"/>
  <c r="B75" i="13"/>
  <c r="F74" i="13"/>
  <c r="E74" i="13"/>
  <c r="D74" i="13"/>
  <c r="C74" i="13"/>
  <c r="B74" i="13"/>
  <c r="F71" i="13"/>
  <c r="C71" i="13"/>
  <c r="E71" i="13"/>
  <c r="D71" i="13"/>
  <c r="B71" i="13"/>
  <c r="B73" i="13" l="1"/>
  <c r="B72" i="13"/>
  <c r="D73" i="13"/>
  <c r="D72" i="13"/>
  <c r="C73" i="13"/>
  <c r="C72" i="13"/>
  <c r="E73" i="13"/>
  <c r="E72" i="13"/>
  <c r="F73" i="13"/>
  <c r="F72" i="13"/>
  <c r="G61" i="3" l="1"/>
  <c r="F61" i="3"/>
  <c r="E61" i="3"/>
  <c r="D61" i="3"/>
  <c r="C61" i="3"/>
  <c r="B61" i="3"/>
  <c r="G59" i="3"/>
  <c r="F59" i="3"/>
  <c r="E59" i="3"/>
  <c r="D59" i="3"/>
  <c r="C59" i="3"/>
  <c r="B59" i="3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B66" i="3" s="1"/>
  <c r="D66" i="3" l="1"/>
  <c r="F66" i="3"/>
  <c r="C66" i="3"/>
  <c r="E66" i="3"/>
  <c r="G66" i="3"/>
  <c r="E64" i="3"/>
  <c r="G64" i="3"/>
  <c r="K80" i="10"/>
  <c r="J80" i="10"/>
  <c r="L80" i="10"/>
  <c r="I80" i="10"/>
  <c r="F64" i="3"/>
  <c r="C64" i="3"/>
  <c r="D64" i="3"/>
  <c r="B64" i="3"/>
</calcChain>
</file>

<file path=xl/sharedStrings.xml><?xml version="1.0" encoding="utf-8"?>
<sst xmlns="http://schemas.openxmlformats.org/spreadsheetml/2006/main" count="993" uniqueCount="105">
  <si>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</si>
  <si>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</si>
  <si>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</si>
  <si>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</si>
  <si>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</si>
  <si>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</si>
  <si>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</si>
  <si>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</si>
  <si>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</si>
  <si>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</si>
  <si>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</si>
  <si>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</si>
  <si>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</si>
  <si>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</si>
  <si>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</si>
  <si>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</si>
  <si>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</si>
  <si>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</si>
  <si>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</si>
  <si>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</si>
  <si>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</si>
  <si>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</si>
  <si>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</si>
  <si>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</si>
  <si>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</si>
  <si>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</si>
  <si>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</si>
  <si>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</si>
  <si>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</si>
  <si>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</si>
  <si>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</si>
  <si>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</si>
  <si>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</si>
  <si>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</si>
  <si>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</si>
  <si>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</si>
  <si>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</si>
  <si>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</si>
  <si>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</si>
  <si>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</si>
  <si>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</si>
  <si>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</si>
  <si>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</si>
  <si>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</si>
  <si>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</si>
  <si>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</si>
  <si>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</si>
  <si>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</si>
  <si>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</si>
  <si>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</si>
  <si>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</si>
  <si>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</si>
  <si>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</si>
  <si>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</si>
  <si>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</si>
  <si>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</si>
  <si>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</si>
  <si>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</si>
  <si>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</si>
  <si>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</si>
  <si>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</si>
  <si>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</si>
  <si>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</si>
  <si>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</si>
  <si>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</si>
  <si>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</si>
  <si>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</si>
  <si>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</si>
  <si>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</si>
  <si>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</si>
  <si>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</si>
  <si>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</si>
  <si>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</si>
  <si>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</si>
  <si>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</si>
  <si>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</si>
  <si>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</si>
  <si>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</si>
  <si>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</si>
  <si>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</si>
  <si>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</si>
  <si>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</si>
  <si>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</si>
  <si>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</si>
  <si>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</si>
  <si>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</si>
  <si>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</si>
  <si>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</si>
  <si>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</si>
  <si>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</si>
  <si>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</si>
  <si>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Daň zo sladených nealkoholických nápojov</t>
  </si>
  <si>
    <t>Daň z finančných transakcií</t>
  </si>
  <si>
    <t>Vplyv legislatívnych zmien na prognózu daňových príjmov VS - nová legislatíva (ESA2010, v tis. EUR)</t>
  </si>
  <si>
    <t>Výdavky na poukázanie podielu zaplatenej dane pre rodiča</t>
  </si>
  <si>
    <t>Dorovnávacia daň právnických osôb</t>
  </si>
  <si>
    <t>zo sladených nealkoholických nápojov</t>
  </si>
  <si>
    <t>Prognóza daňových príjmov verejnej správy v metodike ESA2010 (v tis. EUR) - Schválený rozpočet VS na roky 2026 až 2028</t>
  </si>
  <si>
    <t>Prognóza daňových príjmov verejnej správy na hotovostnom princípe (v tis. EUR) - Schválený rozpočet VS na roky 2026 až 2028</t>
  </si>
  <si>
    <t>Sankcie, cash = akruál (v tis.EUR) - jún 2026</t>
  </si>
  <si>
    <t xml:space="preserve"> Prognóza daňových príjmov verejnej správy na hotovostnom princípe (v tis. EUR) - jún 2026</t>
  </si>
  <si>
    <t>Prognóza daňových príjmov verejnej správy v metodike ESA2010 (v tis. EUR) - jún 2026</t>
  </si>
  <si>
    <r>
      <t xml:space="preserve">Prognóza daňových príjmov verejnej správy v metodike ESA2010 (v tis. EUR) - jún 2026 </t>
    </r>
    <r>
      <rPr>
        <b/>
        <sz val="12"/>
        <color indexed="49"/>
        <rFont val="Arial Narrow"/>
        <family val="2"/>
      </rPr>
      <t>(bez vplyvu novej legislatívy)</t>
    </r>
  </si>
  <si>
    <t>Zo sladených nealkoholických nápojov</t>
  </si>
  <si>
    <t>Prognóza daňových príjmov verejnej správy v metodike ESA2010 (v tis. EUR) - február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</si>
</sst>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"/>
    <numFmt numFmtId="166" formatCode="#,##0.0"/>
    <numFmt numFmtId="167" formatCode="0.000"/>
    <numFmt numFmtId="168" formatCode="#,##0.00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slantDashDot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slantDashDot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medium">
        <color auto="1"/>
      </left>
      <right style="thin">
        <color theme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3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1" xfId="43" applyNumberFormat="1" applyFont="1" applyFill="1" applyBorder="1" applyAlignment="1">
      <alignment vertical="center"/>
    </xf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1" fillId="0" borderId="31" xfId="42" applyFont="1" applyBorder="1" applyAlignment="1">
      <alignment horizontal="left" vertical="center" indent="2"/>
    </xf>
    <xf numFmtId="0" fontId="31" fillId="0" borderId="30" xfId="42" applyFont="1" applyBorder="1" applyAlignment="1">
      <alignment horizontal="left" vertical="center" indent="2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  <xf numFmtId="164" fontId="30" fillId="0" borderId="16" xfId="45" applyNumberFormat="1" applyFont="1" applyFill="1" applyBorder="1"/>
    <xf numFmtId="0" fontId="32" fillId="0" borderId="0" xfId="45" applyFont="1" applyFill="1" applyBorder="1"/>
    <xf numFmtId="164" fontId="30" fillId="0" borderId="71" xfId="45" applyNumberFormat="1" applyFont="1" applyFill="1" applyBorder="1"/>
    <xf numFmtId="0" fontId="23" fillId="0" borderId="0" xfId="0" applyFont="1" applyBorder="1"/>
    <xf numFmtId="3" fontId="30" fillId="0" borderId="81" xfId="43" applyNumberFormat="1" applyFont="1" applyFill="1" applyBorder="1" applyAlignment="1">
      <alignment vertical="center"/>
    </xf>
    <xf numFmtId="0" fontId="47" fillId="0" borderId="0" xfId="0" applyFont="1"/>
    <xf numFmtId="3" fontId="20" fillId="0" borderId="78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30" fillId="0" borderId="48" xfId="42" applyNumberFormat="1" applyFont="1" applyFill="1" applyBorder="1" applyAlignment="1">
      <alignment vertical="center"/>
    </xf>
    <xf numFmtId="4" fontId="18" fillId="0" borderId="0" xfId="0" applyNumberFormat="1" applyFont="1"/>
    <xf numFmtId="3" fontId="30" fillId="0" borderId="30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0" fontId="27" fillId="0" borderId="52" xfId="45" applyFont="1" applyFill="1" applyBorder="1" applyAlignment="1">
      <alignment horizontal="left" vertical="center" indent="6"/>
    </xf>
    <xf numFmtId="3" fontId="30" fillId="0" borderId="52" xfId="45" applyNumberFormat="1" applyFont="1" applyFill="1" applyBorder="1" applyAlignment="1">
      <alignment vertical="center"/>
    </xf>
    <xf numFmtId="3" fontId="21" fillId="34" borderId="82" xfId="45" applyNumberFormat="1" applyFont="1" applyFill="1" applyBorder="1" applyAlignment="1">
      <alignment vertical="center"/>
    </xf>
    <xf numFmtId="3" fontId="21" fillId="34" borderId="83" xfId="45" applyNumberFormat="1" applyFont="1" applyFill="1" applyBorder="1" applyAlignment="1">
      <alignment vertical="center"/>
    </xf>
    <xf numFmtId="3" fontId="30" fillId="0" borderId="84" xfId="45" applyNumberFormat="1" applyFont="1" applyFill="1" applyBorder="1" applyAlignment="1">
      <alignment vertical="center"/>
    </xf>
    <xf numFmtId="3" fontId="30" fillId="0" borderId="85" xfId="45" applyNumberFormat="1" applyFont="1" applyFill="1" applyBorder="1" applyAlignment="1">
      <alignment vertical="center"/>
    </xf>
    <xf numFmtId="3" fontId="21" fillId="34" borderId="86" xfId="45" applyNumberFormat="1" applyFont="1" applyFill="1" applyBorder="1" applyAlignment="1">
      <alignment vertical="center"/>
    </xf>
    <xf numFmtId="0" fontId="27" fillId="0" borderId="87" xfId="45" applyFont="1" applyFill="1" applyBorder="1" applyAlignment="1">
      <alignment horizontal="left" vertical="center" indent="6"/>
    </xf>
    <xf numFmtId="168" fontId="23" fillId="0" borderId="0" xfId="0" applyNumberFormat="1" applyFont="1"/>
    <xf numFmtId="165" fontId="23" fillId="0" borderId="0" xfId="0" applyNumberFormat="1" applyFont="1"/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1"/>
  <sheetViews>
    <sheetView showGridLines="0" tabSelected="1" zoomScaleNormal="10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A2" sqref="A2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28" width="13.54296875" style="1" bestFit="1" customWidth="1"/>
    <col min="29" max="30" width="9.1796875" style="1"/>
    <col min="31" max="31" width="10.7265625" style="1" bestFit="1" customWidth="1"/>
    <col min="32" max="32" width="9.1796875" style="1"/>
    <col min="33" max="33" width="9.7265625" style="1" bestFit="1" customWidth="1"/>
    <col min="34" max="16384" width="9.1796875" style="1"/>
  </cols>
  <sheetData>
    <row r="1" spans="1:38" ht="15.75" customHeight="1" x14ac:dyDescent="0.25">
      <c r="A1" s="4" t="s">
        <v>101</v>
      </c>
      <c r="B1" s="5"/>
      <c r="C1" s="5"/>
      <c r="D1" s="5"/>
      <c r="E1" s="5"/>
      <c r="F1" s="5"/>
      <c r="G1" s="5"/>
      <c r="H1" s="5"/>
      <c r="J1" s="343" t="s">
        <v>93</v>
      </c>
      <c r="S1" s="4" t="s">
        <v>102</v>
      </c>
    </row>
    <row r="2" spans="1:38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8" ht="13.5" customHeight="1" thickBot="1" x14ac:dyDescent="0.3">
      <c r="A3" s="223" t="s">
        <v>1</v>
      </c>
      <c r="B3" s="9" t="s">
        <v>2</v>
      </c>
      <c r="C3" s="10" t="s">
        <v>3</v>
      </c>
      <c r="D3" s="422" t="s">
        <v>4</v>
      </c>
      <c r="E3" s="423"/>
      <c r="F3" s="423"/>
      <c r="G3" s="423"/>
      <c r="H3" s="424"/>
      <c r="J3" s="11" t="s">
        <v>1</v>
      </c>
      <c r="K3" s="250" t="s">
        <v>2</v>
      </c>
      <c r="L3" s="10" t="s">
        <v>3</v>
      </c>
      <c r="M3" s="422" t="s">
        <v>4</v>
      </c>
      <c r="N3" s="423"/>
      <c r="O3" s="423"/>
      <c r="P3" s="423"/>
      <c r="Q3" s="424"/>
      <c r="S3" s="11" t="s">
        <v>1</v>
      </c>
      <c r="T3" s="9" t="s">
        <v>2</v>
      </c>
      <c r="U3" s="10" t="s">
        <v>3</v>
      </c>
      <c r="V3" s="422" t="s">
        <v>4</v>
      </c>
      <c r="W3" s="423"/>
      <c r="X3" s="423"/>
      <c r="Y3" s="423"/>
      <c r="Z3" s="424"/>
    </row>
    <row r="4" spans="1:38" ht="14.25" customHeight="1" thickBot="1" x14ac:dyDescent="0.3">
      <c r="A4" s="12"/>
      <c r="B4" s="13">
        <v>2024</v>
      </c>
      <c r="C4" s="14">
        <v>2025</v>
      </c>
      <c r="D4" s="312">
        <v>2026</v>
      </c>
      <c r="E4" s="313">
        <v>2027</v>
      </c>
      <c r="F4" s="313">
        <v>2028</v>
      </c>
      <c r="G4" s="329">
        <v>2029</v>
      </c>
      <c r="H4" s="326">
        <v>2030</v>
      </c>
      <c r="J4" s="12"/>
      <c r="K4" s="13">
        <v>2024</v>
      </c>
      <c r="L4" s="14">
        <v>2025</v>
      </c>
      <c r="M4" s="312">
        <v>2026</v>
      </c>
      <c r="N4" s="313">
        <v>2027</v>
      </c>
      <c r="O4" s="313">
        <v>2028</v>
      </c>
      <c r="P4" s="329">
        <v>2029</v>
      </c>
      <c r="Q4" s="326">
        <v>2030</v>
      </c>
      <c r="S4" s="12"/>
      <c r="T4" s="13">
        <v>2024</v>
      </c>
      <c r="U4" s="14">
        <v>2025</v>
      </c>
      <c r="V4" s="312">
        <v>2026</v>
      </c>
      <c r="W4" s="313">
        <v>2027</v>
      </c>
      <c r="X4" s="313">
        <v>2028</v>
      </c>
      <c r="Y4" s="333">
        <v>2029</v>
      </c>
      <c r="Z4" s="326">
        <v>2030</v>
      </c>
    </row>
    <row r="5" spans="1:38" ht="13.5" customHeight="1" x14ac:dyDescent="0.25">
      <c r="A5" s="16" t="s">
        <v>5</v>
      </c>
      <c r="B5" s="348">
        <f>B6+B12+B17+B16</f>
        <v>9946951.8581433333</v>
      </c>
      <c r="C5" s="349">
        <f t="shared" ref="C5:H5" si="0">C6+C12+C17+C16</f>
        <v>10314720.548414597</v>
      </c>
      <c r="D5" s="350">
        <f t="shared" si="0"/>
        <v>10861323</v>
      </c>
      <c r="E5" s="351">
        <f t="shared" si="0"/>
        <v>11310932</v>
      </c>
      <c r="F5" s="351">
        <f t="shared" si="0"/>
        <v>11925266</v>
      </c>
      <c r="G5" s="352">
        <f t="shared" si="0"/>
        <v>12446376</v>
      </c>
      <c r="H5" s="353">
        <f t="shared" si="0"/>
        <v>13028174</v>
      </c>
      <c r="I5" s="278"/>
      <c r="J5" s="16" t="s">
        <v>5</v>
      </c>
      <c r="K5" s="17">
        <f t="shared" ref="K5" si="1">K6+K12+K17</f>
        <v>0</v>
      </c>
      <c r="L5" s="18">
        <f>L6+L12+L17+L16</f>
        <v>0</v>
      </c>
      <c r="M5" s="19">
        <f t="shared" ref="M5:Q5" si="2">M6+M12+M17+M16</f>
        <v>891.39800000000002</v>
      </c>
      <c r="N5" s="20">
        <f t="shared" si="2"/>
        <v>2367.3018680610498</v>
      </c>
      <c r="O5" s="20">
        <f t="shared" si="2"/>
        <v>2443.62055649677</v>
      </c>
      <c r="P5" s="281">
        <f t="shared" si="2"/>
        <v>2498.63952640774</v>
      </c>
      <c r="Q5" s="327">
        <f t="shared" si="2"/>
        <v>2568.5842147189201</v>
      </c>
      <c r="S5" s="16" t="s">
        <v>5</v>
      </c>
      <c r="T5" s="17">
        <f>T6+T12+T17+T16</f>
        <v>9946951.8581433333</v>
      </c>
      <c r="U5" s="18">
        <f t="shared" ref="U5:Z5" si="3">U6+U12+U17+U16</f>
        <v>10314720.548414597</v>
      </c>
      <c r="V5" s="19">
        <f t="shared" si="3"/>
        <v>10860431.602</v>
      </c>
      <c r="W5" s="20">
        <f t="shared" si="3"/>
        <v>11308564.698131938</v>
      </c>
      <c r="X5" s="20">
        <f t="shared" si="3"/>
        <v>11922822.379443504</v>
      </c>
      <c r="Y5" s="281">
        <f t="shared" si="3"/>
        <v>12443877.360473592</v>
      </c>
      <c r="Z5" s="327">
        <f t="shared" si="3"/>
        <v>13025605.415785281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13.5" customHeight="1" x14ac:dyDescent="0.25">
      <c r="A6" s="24" t="s">
        <v>6</v>
      </c>
      <c r="B6" s="73">
        <f t="shared" ref="B6:H6" si="4">B7+B8</f>
        <v>4856604.7480433332</v>
      </c>
      <c r="C6" s="48">
        <f t="shared" si="4"/>
        <v>5167800.8046745975</v>
      </c>
      <c r="D6" s="74">
        <f t="shared" si="4"/>
        <v>5558089</v>
      </c>
      <c r="E6" s="47">
        <f t="shared" si="4"/>
        <v>5778992</v>
      </c>
      <c r="F6" s="47">
        <f t="shared" si="4"/>
        <v>6072535</v>
      </c>
      <c r="G6" s="318">
        <f t="shared" si="4"/>
        <v>6352479</v>
      </c>
      <c r="H6" s="316">
        <f t="shared" si="4"/>
        <v>6660774</v>
      </c>
      <c r="I6" s="278"/>
      <c r="J6" s="24" t="s">
        <v>7</v>
      </c>
      <c r="K6" s="25">
        <f t="shared" ref="K6:P6" si="5">K7+K8</f>
        <v>0</v>
      </c>
      <c r="L6" s="26">
        <f t="shared" si="5"/>
        <v>0</v>
      </c>
      <c r="M6" s="27">
        <f t="shared" si="5"/>
        <v>891.39800000000002</v>
      </c>
      <c r="N6" s="28">
        <f t="shared" si="5"/>
        <v>2367.3018680610498</v>
      </c>
      <c r="O6" s="28">
        <f t="shared" si="5"/>
        <v>2443.62055649677</v>
      </c>
      <c r="P6" s="55">
        <f t="shared" si="5"/>
        <v>2498.63952640774</v>
      </c>
      <c r="Q6" s="291">
        <f t="shared" ref="Q6" si="6">Q7+Q8</f>
        <v>2568.5842147189201</v>
      </c>
      <c r="S6" s="24" t="s">
        <v>7</v>
      </c>
      <c r="T6" s="25">
        <f t="shared" ref="T6:Y6" si="7">T7+T8</f>
        <v>4856604.7480433332</v>
      </c>
      <c r="U6" s="26">
        <f t="shared" si="7"/>
        <v>5167800.8046745975</v>
      </c>
      <c r="V6" s="27">
        <f t="shared" si="7"/>
        <v>5557197.602</v>
      </c>
      <c r="W6" s="28">
        <f t="shared" si="7"/>
        <v>5776624.6981319385</v>
      </c>
      <c r="X6" s="28">
        <f t="shared" si="7"/>
        <v>6070091.379443503</v>
      </c>
      <c r="Y6" s="55">
        <f t="shared" si="7"/>
        <v>6349980.3604735928</v>
      </c>
      <c r="Z6" s="291">
        <f t="shared" ref="Z6" si="8">Z7+Z8</f>
        <v>6658205.415785281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8" ht="13.5" customHeight="1" x14ac:dyDescent="0.25">
      <c r="A7" s="29" t="s">
        <v>8</v>
      </c>
      <c r="B7" s="147">
        <v>4656277.1821833327</v>
      </c>
      <c r="C7" s="346">
        <v>4981745.8046745975</v>
      </c>
      <c r="D7" s="149">
        <v>5346324</v>
      </c>
      <c r="E7" s="150">
        <v>5568709</v>
      </c>
      <c r="F7" s="347">
        <v>5856854</v>
      </c>
      <c r="G7" s="150">
        <v>6135250</v>
      </c>
      <c r="H7" s="151">
        <v>6441864</v>
      </c>
      <c r="I7" s="278"/>
      <c r="J7" s="29" t="s">
        <v>8</v>
      </c>
      <c r="K7" s="25"/>
      <c r="L7" s="26"/>
      <c r="M7" s="27">
        <v>0</v>
      </c>
      <c r="N7" s="28">
        <v>476.09686806104986</v>
      </c>
      <c r="O7" s="28">
        <v>486.63555649676988</v>
      </c>
      <c r="P7" s="55">
        <v>496.1975264077401</v>
      </c>
      <c r="Q7" s="291">
        <v>508.06124951665009</v>
      </c>
      <c r="S7" s="29" t="s">
        <v>8</v>
      </c>
      <c r="T7" s="30">
        <f t="shared" ref="T7:Z12" si="9">+B7-K7</f>
        <v>4656277.1821833327</v>
      </c>
      <c r="U7" s="31">
        <f t="shared" si="9"/>
        <v>4981745.8046745975</v>
      </c>
      <c r="V7" s="32">
        <f t="shared" si="9"/>
        <v>5346324</v>
      </c>
      <c r="W7" s="33">
        <f t="shared" si="9"/>
        <v>5568232.9031319385</v>
      </c>
      <c r="X7" s="34">
        <f t="shared" si="9"/>
        <v>5856367.3644435033</v>
      </c>
      <c r="Y7" s="33">
        <f t="shared" si="9"/>
        <v>6134753.8024735926</v>
      </c>
      <c r="Z7" s="328">
        <f t="shared" si="9"/>
        <v>6441355.9387504831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8" ht="13.5" customHeight="1" x14ac:dyDescent="0.25">
      <c r="A8" s="29" t="s">
        <v>9</v>
      </c>
      <c r="B8" s="147">
        <v>200327.56586000003</v>
      </c>
      <c r="C8" s="346">
        <v>186055</v>
      </c>
      <c r="D8" s="149">
        <v>211765</v>
      </c>
      <c r="E8" s="150">
        <v>210283</v>
      </c>
      <c r="F8" s="347">
        <v>215681</v>
      </c>
      <c r="G8" s="150">
        <v>217229</v>
      </c>
      <c r="H8" s="151">
        <v>218910</v>
      </c>
      <c r="I8" s="278"/>
      <c r="J8" s="29" t="s">
        <v>9</v>
      </c>
      <c r="K8" s="25"/>
      <c r="L8" s="26"/>
      <c r="M8" s="27">
        <v>891.39800000000002</v>
      </c>
      <c r="N8" s="28">
        <v>1891.2049999999999</v>
      </c>
      <c r="O8" s="28">
        <v>1956.9849999999999</v>
      </c>
      <c r="P8" s="55">
        <v>2002.442</v>
      </c>
      <c r="Q8" s="291">
        <v>2060.5229652022699</v>
      </c>
      <c r="S8" s="29" t="s">
        <v>9</v>
      </c>
      <c r="T8" s="30">
        <f t="shared" si="9"/>
        <v>200327.56586000003</v>
      </c>
      <c r="U8" s="31">
        <f t="shared" si="9"/>
        <v>186055</v>
      </c>
      <c r="V8" s="32">
        <f t="shared" si="9"/>
        <v>210873.60200000001</v>
      </c>
      <c r="W8" s="33">
        <f t="shared" si="9"/>
        <v>208391.79500000001</v>
      </c>
      <c r="X8" s="34">
        <f t="shared" si="9"/>
        <v>213724.01500000001</v>
      </c>
      <c r="Y8" s="33">
        <f t="shared" si="9"/>
        <v>215226.55799999999</v>
      </c>
      <c r="Z8" s="328">
        <f t="shared" si="9"/>
        <v>216849.47703479772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8" ht="13.5" customHeight="1" x14ac:dyDescent="0.25">
      <c r="A9" s="36" t="s">
        <v>10</v>
      </c>
      <c r="B9" s="147">
        <f>B6-B10-B11</f>
        <v>1409375.9323533326</v>
      </c>
      <c r="C9" s="346">
        <f t="shared" ref="C9:F9" si="10">C6-C10-C11</f>
        <v>1733806.0479445974</v>
      </c>
      <c r="D9" s="149">
        <f t="shared" si="10"/>
        <v>1793997</v>
      </c>
      <c r="E9" s="150">
        <f t="shared" si="10"/>
        <v>1812056</v>
      </c>
      <c r="F9" s="347">
        <f t="shared" si="10"/>
        <v>1910142</v>
      </c>
      <c r="G9" s="150">
        <f>G6-G10-G11</f>
        <v>1952374</v>
      </c>
      <c r="H9" s="151">
        <f>H6-H10-H11</f>
        <v>2020245</v>
      </c>
      <c r="I9" s="278"/>
      <c r="J9" s="36" t="s">
        <v>10</v>
      </c>
      <c r="K9" s="25"/>
      <c r="L9" s="26"/>
      <c r="M9" s="27">
        <f>+M6-M10-M11</f>
        <v>891.39800000000002</v>
      </c>
      <c r="N9" s="28">
        <f t="shared" ref="N9:Q9" si="11">+N6-N10-N11</f>
        <v>1313.9211000610499</v>
      </c>
      <c r="O9" s="28">
        <f t="shared" si="11"/>
        <v>501.3972764967699</v>
      </c>
      <c r="P9" s="55">
        <f t="shared" si="11"/>
        <v>494.73976640774003</v>
      </c>
      <c r="Q9" s="291">
        <f t="shared" si="11"/>
        <v>518.59154271891998</v>
      </c>
      <c r="S9" s="36" t="s">
        <v>10</v>
      </c>
      <c r="T9" s="30">
        <f t="shared" si="9"/>
        <v>1409375.9323533326</v>
      </c>
      <c r="U9" s="31">
        <f t="shared" si="9"/>
        <v>1733806.0479445974</v>
      </c>
      <c r="V9" s="32">
        <f t="shared" si="9"/>
        <v>1793105.602</v>
      </c>
      <c r="W9" s="33">
        <f t="shared" si="9"/>
        <v>1810742.0788999388</v>
      </c>
      <c r="X9" s="34">
        <f t="shared" si="9"/>
        <v>1909640.6027235033</v>
      </c>
      <c r="Y9" s="33">
        <f t="shared" si="9"/>
        <v>1951879.2602335922</v>
      </c>
      <c r="Z9" s="328">
        <f t="shared" si="9"/>
        <v>2019726.4084572811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pans="1:38" ht="13.5" customHeight="1" x14ac:dyDescent="0.25">
      <c r="A10" s="36" t="s">
        <v>11</v>
      </c>
      <c r="B10" s="147">
        <v>2413060.1910800003</v>
      </c>
      <c r="C10" s="346">
        <v>2237621.0570100001</v>
      </c>
      <c r="D10" s="149">
        <v>2444928</v>
      </c>
      <c r="E10" s="150">
        <v>2554823</v>
      </c>
      <c r="F10" s="347">
        <v>2680520</v>
      </c>
      <c r="G10" s="150">
        <v>2833604</v>
      </c>
      <c r="H10" s="151">
        <v>2988433</v>
      </c>
      <c r="I10" s="278"/>
      <c r="J10" s="36" t="s">
        <v>11</v>
      </c>
      <c r="K10" s="25"/>
      <c r="L10" s="26"/>
      <c r="M10" s="27">
        <v>0</v>
      </c>
      <c r="N10" s="28">
        <v>682.44093999999996</v>
      </c>
      <c r="O10" s="28">
        <v>1259.3386500000001</v>
      </c>
      <c r="P10" s="55">
        <v>1299.2020500000001</v>
      </c>
      <c r="Q10" s="291">
        <v>1329.2942600000001</v>
      </c>
      <c r="S10" s="36" t="s">
        <v>11</v>
      </c>
      <c r="T10" s="30">
        <f t="shared" si="9"/>
        <v>2413060.1910800003</v>
      </c>
      <c r="U10" s="31">
        <f t="shared" si="9"/>
        <v>2237621.0570100001</v>
      </c>
      <c r="V10" s="32">
        <f t="shared" si="9"/>
        <v>2444928</v>
      </c>
      <c r="W10" s="33">
        <f t="shared" si="9"/>
        <v>2554140.5590599999</v>
      </c>
      <c r="X10" s="34">
        <f t="shared" si="9"/>
        <v>2679260.6613500002</v>
      </c>
      <c r="Y10" s="33">
        <f t="shared" si="9"/>
        <v>2832304.79795</v>
      </c>
      <c r="Z10" s="328">
        <f t="shared" si="9"/>
        <v>2987103.7057400001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38" ht="13.5" customHeight="1" x14ac:dyDescent="0.25">
      <c r="A11" s="36" t="s">
        <v>12</v>
      </c>
      <c r="B11" s="147">
        <v>1034168.6246100002</v>
      </c>
      <c r="C11" s="346">
        <v>1196373.6997199999</v>
      </c>
      <c r="D11" s="149">
        <v>1319164</v>
      </c>
      <c r="E11" s="150">
        <v>1412113</v>
      </c>
      <c r="F11" s="347">
        <v>1481873</v>
      </c>
      <c r="G11" s="150">
        <v>1566501</v>
      </c>
      <c r="H11" s="151">
        <v>1652096</v>
      </c>
      <c r="I11" s="278"/>
      <c r="J11" s="36" t="s">
        <v>12</v>
      </c>
      <c r="K11" s="25"/>
      <c r="L11" s="26"/>
      <c r="M11" s="27">
        <v>0</v>
      </c>
      <c r="N11" s="28">
        <v>370.93982799999998</v>
      </c>
      <c r="O11" s="28">
        <v>682.8846299999999</v>
      </c>
      <c r="P11" s="55">
        <v>704.69770999999992</v>
      </c>
      <c r="Q11" s="291">
        <v>720.69841199999996</v>
      </c>
      <c r="S11" s="36" t="s">
        <v>12</v>
      </c>
      <c r="T11" s="30">
        <f t="shared" si="9"/>
        <v>1034168.6246100002</v>
      </c>
      <c r="U11" s="31">
        <f t="shared" si="9"/>
        <v>1196373.6997199999</v>
      </c>
      <c r="V11" s="32">
        <f t="shared" si="9"/>
        <v>1319164</v>
      </c>
      <c r="W11" s="33">
        <f t="shared" si="9"/>
        <v>1411742.060172</v>
      </c>
      <c r="X11" s="34">
        <f t="shared" si="9"/>
        <v>1481190.11537</v>
      </c>
      <c r="Y11" s="33">
        <f t="shared" si="9"/>
        <v>1565796.30229</v>
      </c>
      <c r="Z11" s="328">
        <f t="shared" si="9"/>
        <v>1651375.301588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1:38" ht="13.5" customHeight="1" x14ac:dyDescent="0.25">
      <c r="A12" s="24" t="s">
        <v>13</v>
      </c>
      <c r="B12" s="153">
        <v>4512696.6199400006</v>
      </c>
      <c r="C12" s="346">
        <v>4548769</v>
      </c>
      <c r="D12" s="149">
        <v>4724886</v>
      </c>
      <c r="E12" s="150">
        <v>4903902</v>
      </c>
      <c r="F12" s="347">
        <v>5215704</v>
      </c>
      <c r="G12" s="150">
        <v>5444612</v>
      </c>
      <c r="H12" s="151">
        <v>5725401</v>
      </c>
      <c r="I12" s="278"/>
      <c r="J12" s="24" t="s">
        <v>14</v>
      </c>
      <c r="K12" s="25"/>
      <c r="L12" s="26"/>
      <c r="M12" s="27"/>
      <c r="N12" s="28"/>
      <c r="O12" s="28"/>
      <c r="P12" s="55"/>
      <c r="Q12" s="291"/>
      <c r="S12" s="24" t="s">
        <v>14</v>
      </c>
      <c r="T12" s="30">
        <f t="shared" si="9"/>
        <v>4512696.6199400006</v>
      </c>
      <c r="U12" s="31">
        <f t="shared" si="9"/>
        <v>4548769</v>
      </c>
      <c r="V12" s="32">
        <f t="shared" si="9"/>
        <v>4724886</v>
      </c>
      <c r="W12" s="33">
        <f t="shared" si="9"/>
        <v>4903902</v>
      </c>
      <c r="X12" s="34">
        <f t="shared" si="9"/>
        <v>5215704</v>
      </c>
      <c r="Y12" s="33">
        <f t="shared" si="9"/>
        <v>5444612</v>
      </c>
      <c r="Z12" s="328">
        <f t="shared" si="9"/>
        <v>5725401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38" ht="13.5" customHeight="1" x14ac:dyDescent="0.25">
      <c r="A13" s="36" t="s">
        <v>10</v>
      </c>
      <c r="B13" s="153">
        <f>B12-B14-B15</f>
        <v>4174773.6199400006</v>
      </c>
      <c r="C13" s="346">
        <f>C12-C14-C15</f>
        <v>4548769</v>
      </c>
      <c r="D13" s="354">
        <f t="shared" ref="D13:H13" si="12">D12-D14-D15</f>
        <v>4724886</v>
      </c>
      <c r="E13" s="355">
        <f t="shared" si="12"/>
        <v>4903902</v>
      </c>
      <c r="F13" s="347">
        <f t="shared" si="12"/>
        <v>5215704</v>
      </c>
      <c r="G13" s="150">
        <f t="shared" si="12"/>
        <v>5444612</v>
      </c>
      <c r="H13" s="151">
        <f t="shared" si="12"/>
        <v>5725401</v>
      </c>
      <c r="I13" s="278"/>
      <c r="J13" s="29" t="s">
        <v>10</v>
      </c>
      <c r="K13" s="25"/>
      <c r="L13" s="26"/>
      <c r="M13" s="27"/>
      <c r="N13" s="28"/>
      <c r="O13" s="28"/>
      <c r="P13" s="55"/>
      <c r="Q13" s="291"/>
      <c r="S13" s="36" t="s">
        <v>10</v>
      </c>
      <c r="T13" s="30">
        <f t="shared" ref="T13:T15" si="13">+B13-K13</f>
        <v>4174773.6199400006</v>
      </c>
      <c r="U13" s="31">
        <f t="shared" ref="U13:U15" si="14">+C13-L13</f>
        <v>4548769</v>
      </c>
      <c r="V13" s="32">
        <f t="shared" ref="V13:V15" si="15">+D13-M13</f>
        <v>4724886</v>
      </c>
      <c r="W13" s="33">
        <f t="shared" ref="W13:W15" si="16">+E13-N13</f>
        <v>4903902</v>
      </c>
      <c r="X13" s="34">
        <f t="shared" ref="X13:X15" si="17">+F13-O13</f>
        <v>5215704</v>
      </c>
      <c r="Y13" s="33">
        <f t="shared" ref="Y13:Z15" si="18">+G13-P13</f>
        <v>5444612</v>
      </c>
      <c r="Z13" s="328">
        <f t="shared" si="18"/>
        <v>5725401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38" ht="13.5" customHeight="1" x14ac:dyDescent="0.25">
      <c r="A14" s="36" t="s">
        <v>11</v>
      </c>
      <c r="B14" s="153">
        <v>236546</v>
      </c>
      <c r="C14" s="346">
        <v>0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78"/>
      <c r="J14" s="29" t="s">
        <v>11</v>
      </c>
      <c r="K14" s="25"/>
      <c r="L14" s="26"/>
      <c r="M14" s="27"/>
      <c r="N14" s="28"/>
      <c r="O14" s="28"/>
      <c r="P14" s="55"/>
      <c r="Q14" s="291"/>
      <c r="S14" s="36" t="s">
        <v>11</v>
      </c>
      <c r="T14" s="30">
        <f t="shared" si="13"/>
        <v>236546</v>
      </c>
      <c r="U14" s="31">
        <f t="shared" si="14"/>
        <v>0</v>
      </c>
      <c r="V14" s="32">
        <f t="shared" si="15"/>
        <v>0</v>
      </c>
      <c r="W14" s="33">
        <f t="shared" si="16"/>
        <v>0</v>
      </c>
      <c r="X14" s="34">
        <f t="shared" si="17"/>
        <v>0</v>
      </c>
      <c r="Y14" s="33">
        <f t="shared" si="18"/>
        <v>0</v>
      </c>
      <c r="Z14" s="328">
        <f t="shared" si="18"/>
        <v>0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38" ht="13.5" customHeight="1" x14ac:dyDescent="0.25">
      <c r="A15" s="36" t="s">
        <v>12</v>
      </c>
      <c r="B15" s="153">
        <v>101377</v>
      </c>
      <c r="C15" s="346">
        <v>0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78"/>
      <c r="J15" s="29" t="s">
        <v>12</v>
      </c>
      <c r="K15" s="25"/>
      <c r="L15" s="26"/>
      <c r="M15" s="27"/>
      <c r="N15" s="28"/>
      <c r="O15" s="28"/>
      <c r="P15" s="55"/>
      <c r="Q15" s="291"/>
      <c r="S15" s="36" t="s">
        <v>12</v>
      </c>
      <c r="T15" s="30">
        <f t="shared" si="13"/>
        <v>101377</v>
      </c>
      <c r="U15" s="31">
        <f t="shared" si="14"/>
        <v>0</v>
      </c>
      <c r="V15" s="32">
        <f t="shared" si="15"/>
        <v>0</v>
      </c>
      <c r="W15" s="33">
        <f t="shared" si="16"/>
        <v>0</v>
      </c>
      <c r="X15" s="34">
        <f t="shared" si="17"/>
        <v>0</v>
      </c>
      <c r="Y15" s="33">
        <f t="shared" si="18"/>
        <v>0</v>
      </c>
      <c r="Z15" s="328">
        <f t="shared" si="18"/>
        <v>0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8" ht="13.5" customHeight="1" x14ac:dyDescent="0.25">
      <c r="A16" s="24" t="s">
        <v>95</v>
      </c>
      <c r="B16" s="401">
        <v>48500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>
        <v>48500</v>
      </c>
      <c r="I16" s="278"/>
      <c r="J16" s="24" t="s">
        <v>95</v>
      </c>
      <c r="K16" s="25"/>
      <c r="L16" s="26"/>
      <c r="M16" s="27"/>
      <c r="N16" s="28"/>
      <c r="O16" s="28"/>
      <c r="P16" s="55"/>
      <c r="Q16" s="291"/>
      <c r="S16" s="24" t="s">
        <v>95</v>
      </c>
      <c r="T16" s="30">
        <f t="shared" ref="T16" si="19">+B16-K16</f>
        <v>48500</v>
      </c>
      <c r="U16" s="31">
        <f t="shared" ref="U16" si="20">+C16-L16</f>
        <v>48500</v>
      </c>
      <c r="V16" s="32">
        <f t="shared" ref="V16" si="21">+D16-M16</f>
        <v>48500</v>
      </c>
      <c r="W16" s="33">
        <f t="shared" ref="W16" si="22">+E16-N16</f>
        <v>48500</v>
      </c>
      <c r="X16" s="34">
        <f t="shared" ref="X16" si="23">+F16-O16</f>
        <v>48500</v>
      </c>
      <c r="Y16" s="33">
        <f t="shared" ref="Y16" si="24">+G16-P16</f>
        <v>48500</v>
      </c>
      <c r="Z16" s="328">
        <f t="shared" ref="Z16" si="25">+H16-Q16</f>
        <v>48500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ht="13.5" customHeight="1" x14ac:dyDescent="0.25">
      <c r="A17" s="24" t="s">
        <v>15</v>
      </c>
      <c r="B17" s="77">
        <v>529150.49016000004</v>
      </c>
      <c r="C17" s="48">
        <v>549650.74373999995</v>
      </c>
      <c r="D17" s="356">
        <v>529848</v>
      </c>
      <c r="E17" s="357">
        <v>579538</v>
      </c>
      <c r="F17" s="47">
        <v>588527</v>
      </c>
      <c r="G17" s="318">
        <v>600785</v>
      </c>
      <c r="H17" s="316">
        <v>593499</v>
      </c>
      <c r="I17" s="278"/>
      <c r="J17" s="24" t="s">
        <v>15</v>
      </c>
      <c r="K17" s="25"/>
      <c r="L17" s="26"/>
      <c r="M17" s="27"/>
      <c r="N17" s="28"/>
      <c r="O17" s="28"/>
      <c r="P17" s="55"/>
      <c r="Q17" s="291"/>
      <c r="S17" s="24" t="s">
        <v>15</v>
      </c>
      <c r="T17" s="30">
        <f t="shared" ref="T17:Z17" si="26">+B17-K17</f>
        <v>529150.49016000004</v>
      </c>
      <c r="U17" s="31">
        <f t="shared" si="26"/>
        <v>549650.74373999995</v>
      </c>
      <c r="V17" s="32">
        <f t="shared" si="26"/>
        <v>529848</v>
      </c>
      <c r="W17" s="33">
        <f t="shared" si="26"/>
        <v>579538</v>
      </c>
      <c r="X17" s="34">
        <f t="shared" si="26"/>
        <v>588527</v>
      </c>
      <c r="Y17" s="33">
        <f t="shared" si="26"/>
        <v>600785</v>
      </c>
      <c r="Z17" s="328">
        <f t="shared" si="26"/>
        <v>593499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3.5" customHeight="1" x14ac:dyDescent="0.25">
      <c r="A18" s="41" t="s">
        <v>16</v>
      </c>
      <c r="B18" s="358">
        <f t="shared" ref="B18:H18" si="27">B19+B20</f>
        <v>12614980.136799997</v>
      </c>
      <c r="C18" s="359">
        <f t="shared" si="27"/>
        <v>13462634.80095</v>
      </c>
      <c r="D18" s="360">
        <f t="shared" si="27"/>
        <v>14274277</v>
      </c>
      <c r="E18" s="361">
        <f t="shared" si="27"/>
        <v>14516600</v>
      </c>
      <c r="F18" s="361">
        <f t="shared" si="27"/>
        <v>15092441</v>
      </c>
      <c r="G18" s="362">
        <f t="shared" si="27"/>
        <v>15738421</v>
      </c>
      <c r="H18" s="363">
        <f t="shared" si="27"/>
        <v>16334676</v>
      </c>
      <c r="I18" s="278"/>
      <c r="J18" s="41" t="s">
        <v>16</v>
      </c>
      <c r="K18" s="42">
        <f t="shared" ref="K18:P18" si="28">K19+K20</f>
        <v>0</v>
      </c>
      <c r="L18" s="43">
        <f t="shared" si="28"/>
        <v>0</v>
      </c>
      <c r="M18" s="44">
        <f t="shared" si="28"/>
        <v>-745</v>
      </c>
      <c r="N18" s="45">
        <f t="shared" si="28"/>
        <v>-3010</v>
      </c>
      <c r="O18" s="45">
        <f t="shared" si="28"/>
        <v>-3040</v>
      </c>
      <c r="P18" s="282">
        <f t="shared" si="28"/>
        <v>-3083</v>
      </c>
      <c r="Q18" s="292">
        <f t="shared" ref="Q18" si="29">Q19+Q20</f>
        <v>-3140</v>
      </c>
      <c r="S18" s="41" t="s">
        <v>16</v>
      </c>
      <c r="T18" s="42">
        <f t="shared" ref="T18:Y18" si="30">T19+T20</f>
        <v>12614980.136799997</v>
      </c>
      <c r="U18" s="43">
        <f t="shared" si="30"/>
        <v>13462634.80095</v>
      </c>
      <c r="V18" s="44">
        <f t="shared" si="30"/>
        <v>14275022</v>
      </c>
      <c r="W18" s="45">
        <f t="shared" si="30"/>
        <v>14519610</v>
      </c>
      <c r="X18" s="45">
        <f t="shared" si="30"/>
        <v>15095481</v>
      </c>
      <c r="Y18" s="282">
        <f t="shared" si="30"/>
        <v>15741504</v>
      </c>
      <c r="Z18" s="292">
        <f t="shared" ref="Z18" si="31">Z19+Z20</f>
        <v>16337816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ht="13.5" customHeight="1" x14ac:dyDescent="0.25">
      <c r="A19" s="24" t="s">
        <v>17</v>
      </c>
      <c r="B19" s="77">
        <v>9914695.8221099973</v>
      </c>
      <c r="C19" s="48">
        <v>10703694.96652</v>
      </c>
      <c r="D19" s="356">
        <v>11400511</v>
      </c>
      <c r="E19" s="357">
        <v>11606478</v>
      </c>
      <c r="F19" s="47">
        <v>12081858</v>
      </c>
      <c r="G19" s="318">
        <v>12660393</v>
      </c>
      <c r="H19" s="316">
        <v>13220821</v>
      </c>
      <c r="I19" s="278"/>
      <c r="J19" s="24" t="s">
        <v>17</v>
      </c>
      <c r="K19" s="25"/>
      <c r="L19" s="26"/>
      <c r="M19" s="27"/>
      <c r="N19" s="28"/>
      <c r="O19" s="28"/>
      <c r="P19" s="55"/>
      <c r="Q19" s="291"/>
      <c r="S19" s="24" t="s">
        <v>17</v>
      </c>
      <c r="T19" s="25">
        <f t="shared" ref="T19:Z19" si="32">+B19-K19</f>
        <v>9914695.8221099973</v>
      </c>
      <c r="U19" s="26">
        <f t="shared" si="32"/>
        <v>10703694.96652</v>
      </c>
      <c r="V19" s="32">
        <f t="shared" si="32"/>
        <v>11400511</v>
      </c>
      <c r="W19" s="33">
        <f t="shared" si="32"/>
        <v>11606478</v>
      </c>
      <c r="X19" s="28">
        <f t="shared" si="32"/>
        <v>12081858</v>
      </c>
      <c r="Y19" s="55">
        <f t="shared" si="32"/>
        <v>12660393</v>
      </c>
      <c r="Z19" s="291">
        <f t="shared" si="32"/>
        <v>13220821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ht="13.5" customHeight="1" x14ac:dyDescent="0.25">
      <c r="A20" s="24" t="s">
        <v>18</v>
      </c>
      <c r="B20" s="73">
        <f>SUM(B21:B29)</f>
        <v>2700284.3146899999</v>
      </c>
      <c r="C20" s="48">
        <f t="shared" ref="C20:G20" si="33">SUM(C21:C29)</f>
        <v>2758939.8344300003</v>
      </c>
      <c r="D20" s="149">
        <f t="shared" si="33"/>
        <v>2873766</v>
      </c>
      <c r="E20" s="150">
        <f t="shared" si="33"/>
        <v>2910122</v>
      </c>
      <c r="F20" s="47">
        <f t="shared" si="33"/>
        <v>3010583</v>
      </c>
      <c r="G20" s="318">
        <f t="shared" si="33"/>
        <v>3078028</v>
      </c>
      <c r="H20" s="316">
        <f>SUM(H21:H29)</f>
        <v>3113855</v>
      </c>
      <c r="I20" s="278"/>
      <c r="J20" s="24" t="s">
        <v>18</v>
      </c>
      <c r="K20" s="25"/>
      <c r="L20" s="26"/>
      <c r="M20" s="32">
        <f t="shared" ref="M20:P20" si="34">SUM(M21:M28)</f>
        <v>-745</v>
      </c>
      <c r="N20" s="33">
        <f t="shared" si="34"/>
        <v>-3010</v>
      </c>
      <c r="O20" s="47">
        <f t="shared" si="34"/>
        <v>-3040</v>
      </c>
      <c r="P20" s="318">
        <f t="shared" si="34"/>
        <v>-3083</v>
      </c>
      <c r="Q20" s="316">
        <f t="shared" ref="Q20" si="35">SUM(Q21:Q28)</f>
        <v>-3140</v>
      </c>
      <c r="S20" s="24" t="s">
        <v>18</v>
      </c>
      <c r="T20" s="25">
        <f>SUM(T21:T29)</f>
        <v>2700284.3146899999</v>
      </c>
      <c r="U20" s="26">
        <f t="shared" ref="U20:Z20" si="36">SUM(U21:U29)</f>
        <v>2758939.8344300003</v>
      </c>
      <c r="V20" s="32">
        <f t="shared" si="36"/>
        <v>2874511</v>
      </c>
      <c r="W20" s="33">
        <f t="shared" si="36"/>
        <v>2913132</v>
      </c>
      <c r="X20" s="28">
        <f t="shared" si="36"/>
        <v>3013623</v>
      </c>
      <c r="Y20" s="55">
        <f t="shared" si="36"/>
        <v>3081111</v>
      </c>
      <c r="Z20" s="291">
        <f t="shared" si="36"/>
        <v>3116995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3.5" customHeight="1" x14ac:dyDescent="0.25">
      <c r="A21" s="29" t="s">
        <v>19</v>
      </c>
      <c r="B21" s="77">
        <v>1352021.7734699999</v>
      </c>
      <c r="C21" s="48">
        <v>1357488.9435700001</v>
      </c>
      <c r="D21" s="356">
        <v>1389206</v>
      </c>
      <c r="E21" s="357">
        <v>1383539</v>
      </c>
      <c r="F21" s="47">
        <v>1406361</v>
      </c>
      <c r="G21" s="318">
        <v>1438974</v>
      </c>
      <c r="H21" s="316">
        <v>1468482</v>
      </c>
      <c r="I21" s="278"/>
      <c r="J21" s="29" t="s">
        <v>19</v>
      </c>
      <c r="K21" s="25"/>
      <c r="L21" s="26"/>
      <c r="M21" s="27"/>
      <c r="N21" s="28"/>
      <c r="O21" s="28"/>
      <c r="P21" s="55"/>
      <c r="Q21" s="291"/>
      <c r="S21" s="29" t="s">
        <v>19</v>
      </c>
      <c r="T21" s="37">
        <f t="shared" ref="T21:Z28" si="37">+B21-K21</f>
        <v>1352021.7734699999</v>
      </c>
      <c r="U21" s="49">
        <f t="shared" si="37"/>
        <v>1357488.9435700001</v>
      </c>
      <c r="V21" s="32">
        <f t="shared" si="37"/>
        <v>1389206</v>
      </c>
      <c r="W21" s="33">
        <f t="shared" si="37"/>
        <v>1383539</v>
      </c>
      <c r="X21" s="28">
        <f t="shared" si="37"/>
        <v>1406361</v>
      </c>
      <c r="Y21" s="55">
        <f t="shared" si="37"/>
        <v>1438974</v>
      </c>
      <c r="Z21" s="291">
        <f t="shared" si="37"/>
        <v>1468482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ht="13.5" customHeight="1" x14ac:dyDescent="0.25">
      <c r="A22" s="29" t="s">
        <v>20</v>
      </c>
      <c r="B22" s="77">
        <v>232299.74083000002</v>
      </c>
      <c r="C22" s="48">
        <v>244795.30413000003</v>
      </c>
      <c r="D22" s="356">
        <v>242335</v>
      </c>
      <c r="E22" s="357">
        <v>241457</v>
      </c>
      <c r="F22" s="47">
        <v>240274</v>
      </c>
      <c r="G22" s="318">
        <v>240901</v>
      </c>
      <c r="H22" s="316">
        <v>242592</v>
      </c>
      <c r="I22" s="278"/>
      <c r="J22" s="29" t="s">
        <v>20</v>
      </c>
      <c r="K22" s="25"/>
      <c r="L22" s="26"/>
      <c r="M22" s="27"/>
      <c r="N22" s="28"/>
      <c r="O22" s="28"/>
      <c r="P22" s="55"/>
      <c r="Q22" s="291"/>
      <c r="S22" s="29" t="s">
        <v>20</v>
      </c>
      <c r="T22" s="37">
        <f t="shared" si="37"/>
        <v>232299.74083000002</v>
      </c>
      <c r="U22" s="49">
        <f t="shared" si="37"/>
        <v>244795.30413000003</v>
      </c>
      <c r="V22" s="32">
        <f t="shared" si="37"/>
        <v>242335</v>
      </c>
      <c r="W22" s="33">
        <f t="shared" si="37"/>
        <v>241457</v>
      </c>
      <c r="X22" s="28">
        <f t="shared" si="37"/>
        <v>240274</v>
      </c>
      <c r="Y22" s="55">
        <f t="shared" si="37"/>
        <v>240901</v>
      </c>
      <c r="Z22" s="291">
        <f t="shared" si="37"/>
        <v>242592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3.5" customHeight="1" x14ac:dyDescent="0.25">
      <c r="A23" s="29" t="s">
        <v>21</v>
      </c>
      <c r="B23" s="77">
        <v>55801.913319999992</v>
      </c>
      <c r="C23" s="48">
        <v>53086.247249999986</v>
      </c>
      <c r="D23" s="356">
        <v>52496</v>
      </c>
      <c r="E23" s="357">
        <v>52247</v>
      </c>
      <c r="F23" s="47">
        <v>51933</v>
      </c>
      <c r="G23" s="318">
        <v>52010</v>
      </c>
      <c r="H23" s="316">
        <v>52317</v>
      </c>
      <c r="I23" s="278"/>
      <c r="J23" s="29" t="s">
        <v>21</v>
      </c>
      <c r="K23" s="25"/>
      <c r="L23" s="26"/>
      <c r="M23" s="27"/>
      <c r="N23" s="28"/>
      <c r="O23" s="28"/>
      <c r="P23" s="55"/>
      <c r="Q23" s="291"/>
      <c r="S23" s="29" t="s">
        <v>21</v>
      </c>
      <c r="T23" s="37">
        <f t="shared" si="37"/>
        <v>55801.913319999992</v>
      </c>
      <c r="U23" s="49">
        <f t="shared" si="37"/>
        <v>53086.247249999986</v>
      </c>
      <c r="V23" s="32">
        <f t="shared" si="37"/>
        <v>52496</v>
      </c>
      <c r="W23" s="33">
        <f t="shared" si="37"/>
        <v>52247</v>
      </c>
      <c r="X23" s="28">
        <f t="shared" si="37"/>
        <v>51933</v>
      </c>
      <c r="Y23" s="55">
        <f t="shared" si="37"/>
        <v>52010</v>
      </c>
      <c r="Z23" s="291">
        <f t="shared" si="37"/>
        <v>52317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ht="13.5" customHeight="1" x14ac:dyDescent="0.25">
      <c r="A24" s="29" t="s">
        <v>22</v>
      </c>
      <c r="B24" s="77">
        <v>4983.5142699999988</v>
      </c>
      <c r="C24" s="48">
        <v>4684.2402300000003</v>
      </c>
      <c r="D24" s="356">
        <v>4761</v>
      </c>
      <c r="E24" s="357">
        <v>4726</v>
      </c>
      <c r="F24" s="47">
        <v>4685</v>
      </c>
      <c r="G24" s="318">
        <v>4683</v>
      </c>
      <c r="H24" s="316">
        <v>4700</v>
      </c>
      <c r="I24" s="278"/>
      <c r="J24" s="29" t="s">
        <v>22</v>
      </c>
      <c r="K24" s="25"/>
      <c r="L24" s="26"/>
      <c r="M24" s="27"/>
      <c r="N24" s="28"/>
      <c r="O24" s="28"/>
      <c r="P24" s="55"/>
      <c r="Q24" s="291"/>
      <c r="S24" s="29" t="s">
        <v>22</v>
      </c>
      <c r="T24" s="37">
        <f t="shared" si="37"/>
        <v>4983.5142699999988</v>
      </c>
      <c r="U24" s="49">
        <f t="shared" si="37"/>
        <v>4684.2402300000003</v>
      </c>
      <c r="V24" s="32">
        <f t="shared" si="37"/>
        <v>4761</v>
      </c>
      <c r="W24" s="33">
        <f t="shared" si="37"/>
        <v>4726</v>
      </c>
      <c r="X24" s="28">
        <f t="shared" si="37"/>
        <v>4685</v>
      </c>
      <c r="Y24" s="55">
        <f t="shared" si="37"/>
        <v>4683</v>
      </c>
      <c r="Z24" s="291">
        <f t="shared" si="37"/>
        <v>4700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ht="13.5" customHeight="1" x14ac:dyDescent="0.25">
      <c r="A25" s="29" t="s">
        <v>23</v>
      </c>
      <c r="B25" s="77">
        <v>1021078.1292499996</v>
      </c>
      <c r="C25" s="48">
        <v>967879.56263000006</v>
      </c>
      <c r="D25" s="356">
        <v>1053224</v>
      </c>
      <c r="E25" s="357">
        <v>1097809</v>
      </c>
      <c r="F25" s="47">
        <v>1175707</v>
      </c>
      <c r="G25" s="318">
        <v>1207534</v>
      </c>
      <c r="H25" s="316">
        <v>1208891</v>
      </c>
      <c r="I25" s="278"/>
      <c r="J25" s="29" t="s">
        <v>23</v>
      </c>
      <c r="K25" s="25"/>
      <c r="L25" s="26"/>
      <c r="M25" s="27"/>
      <c r="N25" s="28"/>
      <c r="O25" s="28"/>
      <c r="P25" s="55"/>
      <c r="Q25" s="291"/>
      <c r="S25" s="29" t="s">
        <v>23</v>
      </c>
      <c r="T25" s="37">
        <f t="shared" si="37"/>
        <v>1021078.1292499996</v>
      </c>
      <c r="U25" s="49">
        <f t="shared" si="37"/>
        <v>967879.56263000006</v>
      </c>
      <c r="V25" s="32">
        <f t="shared" si="37"/>
        <v>1053224</v>
      </c>
      <c r="W25" s="33">
        <f t="shared" si="37"/>
        <v>1097809</v>
      </c>
      <c r="X25" s="28">
        <f t="shared" si="37"/>
        <v>1175707</v>
      </c>
      <c r="Y25" s="55">
        <f t="shared" si="37"/>
        <v>1207534</v>
      </c>
      <c r="Z25" s="291">
        <f t="shared" si="37"/>
        <v>1208891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3.5" customHeight="1" x14ac:dyDescent="0.25">
      <c r="A26" s="29" t="s">
        <v>24</v>
      </c>
      <c r="B26" s="77">
        <v>12777.880029999998</v>
      </c>
      <c r="C26" s="48">
        <v>11390.274540000002</v>
      </c>
      <c r="D26" s="356">
        <v>10924</v>
      </c>
      <c r="E26" s="357">
        <v>8757</v>
      </c>
      <c r="F26" s="47">
        <v>8811</v>
      </c>
      <c r="G26" s="318">
        <v>8943</v>
      </c>
      <c r="H26" s="316">
        <v>9115</v>
      </c>
      <c r="I26" s="278"/>
      <c r="J26" s="29" t="s">
        <v>24</v>
      </c>
      <c r="K26" s="25"/>
      <c r="L26" s="26"/>
      <c r="M26" s="27">
        <v>-745</v>
      </c>
      <c r="N26" s="28">
        <v>-3010</v>
      </c>
      <c r="O26" s="28">
        <v>-3040</v>
      </c>
      <c r="P26" s="55">
        <v>-3083</v>
      </c>
      <c r="Q26" s="291">
        <v>-3140</v>
      </c>
      <c r="S26" s="29" t="s">
        <v>24</v>
      </c>
      <c r="T26" s="37">
        <f t="shared" si="37"/>
        <v>12777.880029999998</v>
      </c>
      <c r="U26" s="49">
        <f t="shared" si="37"/>
        <v>11390.274540000002</v>
      </c>
      <c r="V26" s="32">
        <f t="shared" si="37"/>
        <v>11669</v>
      </c>
      <c r="W26" s="33">
        <f t="shared" si="37"/>
        <v>11767</v>
      </c>
      <c r="X26" s="28">
        <f t="shared" si="37"/>
        <v>11851</v>
      </c>
      <c r="Y26" s="55">
        <f t="shared" si="37"/>
        <v>12026</v>
      </c>
      <c r="Z26" s="291">
        <f t="shared" si="37"/>
        <v>12255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3.5" customHeight="1" x14ac:dyDescent="0.25">
      <c r="A27" s="29" t="s">
        <v>25</v>
      </c>
      <c r="B27" s="77">
        <v>21127.798239999996</v>
      </c>
      <c r="C27" s="48">
        <v>20802.770060000003</v>
      </c>
      <c r="D27" s="356">
        <v>20899</v>
      </c>
      <c r="E27" s="357">
        <v>21129</v>
      </c>
      <c r="F27" s="47">
        <v>21337</v>
      </c>
      <c r="G27" s="318">
        <v>21709</v>
      </c>
      <c r="H27" s="316">
        <v>22185</v>
      </c>
      <c r="I27" s="278"/>
      <c r="J27" s="29" t="s">
        <v>25</v>
      </c>
      <c r="K27" s="25"/>
      <c r="L27" s="26"/>
      <c r="M27" s="27"/>
      <c r="N27" s="28"/>
      <c r="O27" s="28"/>
      <c r="P27" s="55"/>
      <c r="Q27" s="291"/>
      <c r="S27" s="29" t="s">
        <v>25</v>
      </c>
      <c r="T27" s="37">
        <f t="shared" si="37"/>
        <v>21127.798239999996</v>
      </c>
      <c r="U27" s="49">
        <f t="shared" si="37"/>
        <v>20802.770060000003</v>
      </c>
      <c r="V27" s="32">
        <f t="shared" si="37"/>
        <v>20899</v>
      </c>
      <c r="W27" s="33">
        <f t="shared" si="37"/>
        <v>21129</v>
      </c>
      <c r="X27" s="28">
        <f t="shared" si="37"/>
        <v>21337</v>
      </c>
      <c r="Y27" s="55">
        <f t="shared" si="37"/>
        <v>21709</v>
      </c>
      <c r="Z27" s="291">
        <f t="shared" si="37"/>
        <v>22185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3.5" customHeight="1" x14ac:dyDescent="0.25">
      <c r="A28" s="29" t="s">
        <v>26</v>
      </c>
      <c r="B28" s="77">
        <v>193.56527999999997</v>
      </c>
      <c r="C28" s="48">
        <v>208.31518</v>
      </c>
      <c r="D28" s="356">
        <v>221</v>
      </c>
      <c r="E28" s="357">
        <v>191</v>
      </c>
      <c r="F28" s="47">
        <v>167</v>
      </c>
      <c r="G28" s="318">
        <v>142</v>
      </c>
      <c r="H28" s="316">
        <v>122</v>
      </c>
      <c r="I28" s="278"/>
      <c r="J28" s="29" t="s">
        <v>26</v>
      </c>
      <c r="K28" s="25"/>
      <c r="L28" s="26"/>
      <c r="M28" s="27"/>
      <c r="N28" s="28"/>
      <c r="O28" s="28"/>
      <c r="P28" s="55"/>
      <c r="Q28" s="291"/>
      <c r="S28" s="29" t="s">
        <v>26</v>
      </c>
      <c r="T28" s="37">
        <f t="shared" si="37"/>
        <v>193.56527999999997</v>
      </c>
      <c r="U28" s="49">
        <f t="shared" si="37"/>
        <v>208.31518</v>
      </c>
      <c r="V28" s="32">
        <f t="shared" si="37"/>
        <v>221</v>
      </c>
      <c r="W28" s="33">
        <f t="shared" si="37"/>
        <v>191</v>
      </c>
      <c r="X28" s="28">
        <f t="shared" si="37"/>
        <v>167</v>
      </c>
      <c r="Y28" s="55">
        <f t="shared" si="37"/>
        <v>142</v>
      </c>
      <c r="Z28" s="291">
        <f t="shared" si="37"/>
        <v>122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13.5" customHeight="1" x14ac:dyDescent="0.25">
      <c r="A29" s="29" t="s">
        <v>96</v>
      </c>
      <c r="B29" s="77">
        <v>0</v>
      </c>
      <c r="C29" s="48">
        <v>98604.17684</v>
      </c>
      <c r="D29" s="356">
        <v>99700</v>
      </c>
      <c r="E29" s="357">
        <v>100267</v>
      </c>
      <c r="F29" s="47">
        <v>101308</v>
      </c>
      <c r="G29" s="318">
        <v>103132</v>
      </c>
      <c r="H29" s="316">
        <v>105451</v>
      </c>
      <c r="I29" s="278"/>
      <c r="J29" s="29" t="s">
        <v>96</v>
      </c>
      <c r="K29" s="25"/>
      <c r="L29" s="26"/>
      <c r="M29" s="27"/>
      <c r="N29" s="28"/>
      <c r="O29" s="28"/>
      <c r="P29" s="55"/>
      <c r="Q29" s="291"/>
      <c r="S29" s="29" t="s">
        <v>96</v>
      </c>
      <c r="T29" s="37">
        <f t="shared" ref="T29" si="38">+B29-K29</f>
        <v>0</v>
      </c>
      <c r="U29" s="49">
        <f t="shared" ref="U29" si="39">+C29-L29</f>
        <v>98604.17684</v>
      </c>
      <c r="V29" s="32">
        <f t="shared" ref="V29" si="40">+D29-M29</f>
        <v>99700</v>
      </c>
      <c r="W29" s="33">
        <f t="shared" ref="W29" si="41">+E29-N29</f>
        <v>100267</v>
      </c>
      <c r="X29" s="28">
        <f t="shared" ref="X29" si="42">+F29-O29</f>
        <v>101308</v>
      </c>
      <c r="Y29" s="55">
        <f t="shared" ref="Y29" si="43">+G29-P29</f>
        <v>103132</v>
      </c>
      <c r="Z29" s="291">
        <f t="shared" ref="Z29" si="44">+H29-Q29</f>
        <v>105451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13.5" customHeight="1" x14ac:dyDescent="0.25">
      <c r="A30" s="41" t="s">
        <v>27</v>
      </c>
      <c r="B30" s="358">
        <f t="shared" ref="B30:H30" si="45">SUM(B31:B34)</f>
        <v>36827.937919999997</v>
      </c>
      <c r="C30" s="359">
        <f t="shared" si="45"/>
        <v>45419.760730000002</v>
      </c>
      <c r="D30" s="360">
        <f t="shared" si="45"/>
        <v>41943</v>
      </c>
      <c r="E30" s="361">
        <f t="shared" si="45"/>
        <v>44581</v>
      </c>
      <c r="F30" s="361">
        <f t="shared" si="45"/>
        <v>46462</v>
      </c>
      <c r="G30" s="362">
        <f t="shared" si="45"/>
        <v>49161</v>
      </c>
      <c r="H30" s="363">
        <f t="shared" si="45"/>
        <v>51964</v>
      </c>
      <c r="I30" s="278"/>
      <c r="J30" s="41" t="s">
        <v>27</v>
      </c>
      <c r="K30" s="42">
        <f t="shared" ref="K30:P30" si="46">SUM(K31:K34)</f>
        <v>0</v>
      </c>
      <c r="L30" s="43">
        <f t="shared" si="46"/>
        <v>0</v>
      </c>
      <c r="M30" s="44">
        <f t="shared" si="46"/>
        <v>0</v>
      </c>
      <c r="N30" s="45">
        <f t="shared" si="46"/>
        <v>0</v>
      </c>
      <c r="O30" s="45">
        <f t="shared" si="46"/>
        <v>0</v>
      </c>
      <c r="P30" s="282">
        <f t="shared" si="46"/>
        <v>0</v>
      </c>
      <c r="Q30" s="292">
        <f t="shared" ref="Q30" si="47">SUM(Q31:Q34)</f>
        <v>0</v>
      </c>
      <c r="S30" s="41" t="s">
        <v>27</v>
      </c>
      <c r="T30" s="42">
        <f t="shared" ref="T30:Y30" si="48">SUM(T31:T34)</f>
        <v>36827.937919999997</v>
      </c>
      <c r="U30" s="43">
        <f t="shared" si="48"/>
        <v>45419.760730000002</v>
      </c>
      <c r="V30" s="44">
        <f t="shared" si="48"/>
        <v>41943</v>
      </c>
      <c r="W30" s="45">
        <f t="shared" si="48"/>
        <v>44581</v>
      </c>
      <c r="X30" s="45">
        <f t="shared" si="48"/>
        <v>46462</v>
      </c>
      <c r="Y30" s="282">
        <f t="shared" si="48"/>
        <v>49161</v>
      </c>
      <c r="Z30" s="292">
        <f t="shared" ref="Z30" si="49">SUM(Z31:Z34)</f>
        <v>51964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13.5" customHeight="1" x14ac:dyDescent="0.25">
      <c r="A31" s="24" t="s">
        <v>28</v>
      </c>
      <c r="B31" s="77">
        <v>14.2415</v>
      </c>
      <c r="C31" s="48">
        <v>49.694699999999997</v>
      </c>
      <c r="D31" s="356">
        <v>20</v>
      </c>
      <c r="E31" s="357">
        <v>0</v>
      </c>
      <c r="F31" s="47">
        <v>0</v>
      </c>
      <c r="G31" s="318">
        <v>0</v>
      </c>
      <c r="H31" s="316">
        <v>0</v>
      </c>
      <c r="I31" s="278"/>
      <c r="J31" s="24" t="s">
        <v>28</v>
      </c>
      <c r="K31" s="25"/>
      <c r="L31" s="26"/>
      <c r="M31" s="27"/>
      <c r="N31" s="28"/>
      <c r="O31" s="28"/>
      <c r="P31" s="55"/>
      <c r="Q31" s="291"/>
      <c r="S31" s="24" t="s">
        <v>28</v>
      </c>
      <c r="T31" s="25">
        <f t="shared" ref="T31:Z34" si="50">+B31-K31</f>
        <v>14.2415</v>
      </c>
      <c r="U31" s="49">
        <f t="shared" si="50"/>
        <v>49.694699999999997</v>
      </c>
      <c r="V31" s="32">
        <f t="shared" si="50"/>
        <v>20</v>
      </c>
      <c r="W31" s="33">
        <f t="shared" si="50"/>
        <v>0</v>
      </c>
      <c r="X31" s="28">
        <f t="shared" si="50"/>
        <v>0</v>
      </c>
      <c r="Y31" s="55">
        <f t="shared" si="50"/>
        <v>0</v>
      </c>
      <c r="Z31" s="291">
        <f t="shared" si="50"/>
        <v>0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13.5" customHeight="1" x14ac:dyDescent="0.25">
      <c r="A32" s="24" t="s">
        <v>29</v>
      </c>
      <c r="B32" s="77">
        <v>0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>
        <v>0</v>
      </c>
      <c r="I32" s="278"/>
      <c r="J32" s="24" t="s">
        <v>29</v>
      </c>
      <c r="K32" s="25"/>
      <c r="L32" s="26"/>
      <c r="M32" s="27"/>
      <c r="N32" s="28"/>
      <c r="O32" s="28"/>
      <c r="P32" s="55"/>
      <c r="Q32" s="291"/>
      <c r="S32" s="24" t="s">
        <v>29</v>
      </c>
      <c r="T32" s="25">
        <f t="shared" si="50"/>
        <v>0</v>
      </c>
      <c r="U32" s="49">
        <f t="shared" si="50"/>
        <v>0</v>
      </c>
      <c r="V32" s="32">
        <f t="shared" si="50"/>
        <v>0</v>
      </c>
      <c r="W32" s="33">
        <f t="shared" si="50"/>
        <v>0</v>
      </c>
      <c r="X32" s="28">
        <f t="shared" si="50"/>
        <v>0</v>
      </c>
      <c r="Y32" s="55">
        <f t="shared" si="50"/>
        <v>0</v>
      </c>
      <c r="Z32" s="291">
        <f t="shared" si="50"/>
        <v>0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ht="13.5" customHeight="1" x14ac:dyDescent="0.25">
      <c r="A33" s="24" t="s">
        <v>30</v>
      </c>
      <c r="B33" s="77">
        <v>36813.69642</v>
      </c>
      <c r="C33" s="48">
        <v>45370.066030000002</v>
      </c>
      <c r="D33" s="356">
        <v>41923</v>
      </c>
      <c r="E33" s="357">
        <v>44581</v>
      </c>
      <c r="F33" s="47">
        <v>46462</v>
      </c>
      <c r="G33" s="318">
        <v>49161</v>
      </c>
      <c r="H33" s="316">
        <v>51964</v>
      </c>
      <c r="I33" s="278"/>
      <c r="J33" s="24" t="s">
        <v>30</v>
      </c>
      <c r="K33" s="25"/>
      <c r="L33" s="26"/>
      <c r="M33" s="27"/>
      <c r="N33" s="28"/>
      <c r="O33" s="28"/>
      <c r="P33" s="55"/>
      <c r="Q33" s="291"/>
      <c r="S33" s="24" t="s">
        <v>30</v>
      </c>
      <c r="T33" s="38">
        <f t="shared" si="50"/>
        <v>36813.69642</v>
      </c>
      <c r="U33" s="49">
        <f t="shared" si="50"/>
        <v>45370.066030000002</v>
      </c>
      <c r="V33" s="32">
        <f t="shared" si="50"/>
        <v>41923</v>
      </c>
      <c r="W33" s="33">
        <f t="shared" si="50"/>
        <v>44581</v>
      </c>
      <c r="X33" s="28">
        <f t="shared" si="50"/>
        <v>46462</v>
      </c>
      <c r="Y33" s="55">
        <f t="shared" si="50"/>
        <v>49161</v>
      </c>
      <c r="Z33" s="291">
        <f t="shared" si="50"/>
        <v>51964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>
        <v>0</v>
      </c>
      <c r="I34" s="278"/>
      <c r="J34" s="24" t="s">
        <v>31</v>
      </c>
      <c r="K34" s="25"/>
      <c r="L34" s="26"/>
      <c r="M34" s="27"/>
      <c r="N34" s="28"/>
      <c r="O34" s="28"/>
      <c r="P34" s="55"/>
      <c r="Q34" s="291"/>
      <c r="S34" s="24" t="s">
        <v>31</v>
      </c>
      <c r="T34" s="25">
        <f t="shared" si="50"/>
        <v>0</v>
      </c>
      <c r="U34" s="49">
        <f t="shared" si="50"/>
        <v>0</v>
      </c>
      <c r="V34" s="32">
        <f t="shared" si="50"/>
        <v>0</v>
      </c>
      <c r="W34" s="33">
        <f t="shared" si="50"/>
        <v>0</v>
      </c>
      <c r="X34" s="28">
        <f t="shared" si="50"/>
        <v>0</v>
      </c>
      <c r="Y34" s="55">
        <f t="shared" si="50"/>
        <v>0</v>
      </c>
      <c r="Z34" s="291">
        <f t="shared" si="50"/>
        <v>0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ht="13.5" customHeight="1" x14ac:dyDescent="0.25">
      <c r="A35" s="41" t="s">
        <v>32</v>
      </c>
      <c r="B35" s="358">
        <f t="shared" ref="B35:H35" si="51">SUM(B36:B37)</f>
        <v>973461.24368000007</v>
      </c>
      <c r="C35" s="359">
        <f t="shared" si="51"/>
        <v>1023239.1911700001</v>
      </c>
      <c r="D35" s="360">
        <f t="shared" si="51"/>
        <v>1062598</v>
      </c>
      <c r="E35" s="361">
        <f t="shared" si="51"/>
        <v>1077428</v>
      </c>
      <c r="F35" s="361">
        <f t="shared" si="51"/>
        <v>1091570</v>
      </c>
      <c r="G35" s="362">
        <f t="shared" si="51"/>
        <v>1111461</v>
      </c>
      <c r="H35" s="363">
        <f t="shared" si="51"/>
        <v>1130672</v>
      </c>
      <c r="I35" s="278"/>
      <c r="J35" s="41" t="s">
        <v>32</v>
      </c>
      <c r="K35" s="50">
        <f>+K36+K37</f>
        <v>0</v>
      </c>
      <c r="L35" s="43">
        <f t="shared" ref="L35:Q35" si="52">+L36+L37</f>
        <v>0</v>
      </c>
      <c r="M35" s="44">
        <f t="shared" si="52"/>
        <v>0</v>
      </c>
      <c r="N35" s="45">
        <f t="shared" si="52"/>
        <v>0</v>
      </c>
      <c r="O35" s="45">
        <f t="shared" si="52"/>
        <v>0</v>
      </c>
      <c r="P35" s="282">
        <f t="shared" si="52"/>
        <v>0</v>
      </c>
      <c r="Q35" s="292">
        <f t="shared" si="52"/>
        <v>0</v>
      </c>
      <c r="R35" s="51"/>
      <c r="S35" s="41" t="s">
        <v>32</v>
      </c>
      <c r="T35" s="42">
        <f t="shared" ref="T35:Z35" si="53">SUM(T36:T37)</f>
        <v>973461.24368000007</v>
      </c>
      <c r="U35" s="43">
        <f t="shared" si="53"/>
        <v>1023239.1911700001</v>
      </c>
      <c r="V35" s="44">
        <f t="shared" si="53"/>
        <v>1062598</v>
      </c>
      <c r="W35" s="45">
        <f t="shared" si="53"/>
        <v>1077428</v>
      </c>
      <c r="X35" s="45">
        <f t="shared" si="53"/>
        <v>1091570</v>
      </c>
      <c r="Y35" s="282">
        <f t="shared" si="53"/>
        <v>1111461</v>
      </c>
      <c r="Z35" s="292">
        <f t="shared" si="53"/>
        <v>1130672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ht="13.5" customHeight="1" x14ac:dyDescent="0.25">
      <c r="A36" s="24" t="s">
        <v>33</v>
      </c>
      <c r="B36" s="77">
        <v>618717.19252000004</v>
      </c>
      <c r="C36" s="48">
        <v>645109.31676000007</v>
      </c>
      <c r="D36" s="356">
        <v>667645</v>
      </c>
      <c r="E36" s="357">
        <v>675501</v>
      </c>
      <c r="F36" s="47">
        <v>681284</v>
      </c>
      <c r="G36" s="318">
        <v>689877</v>
      </c>
      <c r="H36" s="316">
        <v>698568</v>
      </c>
      <c r="I36" s="278"/>
      <c r="J36" s="24" t="s">
        <v>33</v>
      </c>
      <c r="K36" s="38"/>
      <c r="L36" s="26"/>
      <c r="M36" s="27"/>
      <c r="N36" s="28"/>
      <c r="O36" s="28"/>
      <c r="P36" s="55"/>
      <c r="Q36" s="291"/>
      <c r="S36" s="24" t="s">
        <v>33</v>
      </c>
      <c r="T36" s="25">
        <f t="shared" ref="T36:Z37" si="54">+B36-K36</f>
        <v>618717.19252000004</v>
      </c>
      <c r="U36" s="26">
        <f t="shared" si="54"/>
        <v>645109.31676000007</v>
      </c>
      <c r="V36" s="39">
        <f t="shared" si="54"/>
        <v>667645</v>
      </c>
      <c r="W36" s="40">
        <f t="shared" si="54"/>
        <v>675501</v>
      </c>
      <c r="X36" s="28">
        <f t="shared" si="54"/>
        <v>681284</v>
      </c>
      <c r="Y36" s="55">
        <f t="shared" si="54"/>
        <v>689877</v>
      </c>
      <c r="Z36" s="291">
        <f t="shared" si="54"/>
        <v>698568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ht="13.5" customHeight="1" x14ac:dyDescent="0.25">
      <c r="A37" s="24" t="s">
        <v>34</v>
      </c>
      <c r="B37" s="77">
        <v>354744.05116000003</v>
      </c>
      <c r="C37" s="48">
        <v>378129.87441000005</v>
      </c>
      <c r="D37" s="356">
        <v>394953</v>
      </c>
      <c r="E37" s="357">
        <v>401927</v>
      </c>
      <c r="F37" s="47">
        <v>410286</v>
      </c>
      <c r="G37" s="318">
        <v>421584</v>
      </c>
      <c r="H37" s="316">
        <v>432104</v>
      </c>
      <c r="I37" s="278"/>
      <c r="J37" s="24" t="s">
        <v>34</v>
      </c>
      <c r="K37" s="38"/>
      <c r="L37" s="26"/>
      <c r="M37" s="27"/>
      <c r="N37" s="28"/>
      <c r="O37" s="28"/>
      <c r="P37" s="55"/>
      <c r="Q37" s="291"/>
      <c r="S37" s="24" t="s">
        <v>34</v>
      </c>
      <c r="T37" s="38">
        <f t="shared" si="54"/>
        <v>354744.05116000003</v>
      </c>
      <c r="U37" s="26">
        <f t="shared" si="54"/>
        <v>378129.87441000005</v>
      </c>
      <c r="V37" s="39">
        <f t="shared" si="54"/>
        <v>394953</v>
      </c>
      <c r="W37" s="40">
        <f t="shared" si="54"/>
        <v>401927</v>
      </c>
      <c r="X37" s="28">
        <f t="shared" si="54"/>
        <v>410286</v>
      </c>
      <c r="Y37" s="55">
        <f t="shared" si="54"/>
        <v>421584</v>
      </c>
      <c r="Z37" s="291">
        <f t="shared" si="54"/>
        <v>432104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ht="13.5" customHeight="1" x14ac:dyDescent="0.25">
      <c r="A38" s="41" t="s">
        <v>36</v>
      </c>
      <c r="B38" s="358">
        <f t="shared" ref="B38:H38" si="55">SUM(B39:B46,B49:B53)</f>
        <v>950587.20530999999</v>
      </c>
      <c r="C38" s="359">
        <f t="shared" si="55"/>
        <v>1183626.2538600001</v>
      </c>
      <c r="D38" s="360">
        <f t="shared" si="55"/>
        <v>1288464</v>
      </c>
      <c r="E38" s="361">
        <f t="shared" si="55"/>
        <v>1266324</v>
      </c>
      <c r="F38" s="361">
        <f t="shared" si="55"/>
        <v>1188899</v>
      </c>
      <c r="G38" s="362">
        <f t="shared" si="55"/>
        <v>1234113</v>
      </c>
      <c r="H38" s="363">
        <f t="shared" si="55"/>
        <v>1281248</v>
      </c>
      <c r="I38" s="278"/>
      <c r="J38" s="41" t="s">
        <v>37</v>
      </c>
      <c r="K38" s="42">
        <f t="shared" ref="K38:Q38" si="56">SUM(K39:K46,K49:K53)</f>
        <v>0</v>
      </c>
      <c r="L38" s="43">
        <f t="shared" si="56"/>
        <v>0</v>
      </c>
      <c r="M38" s="44">
        <f t="shared" si="56"/>
        <v>0</v>
      </c>
      <c r="N38" s="45">
        <f t="shared" si="56"/>
        <v>0</v>
      </c>
      <c r="O38" s="45">
        <f t="shared" si="56"/>
        <v>0</v>
      </c>
      <c r="P38" s="282">
        <f t="shared" si="56"/>
        <v>0</v>
      </c>
      <c r="Q38" s="292">
        <f t="shared" si="56"/>
        <v>0</v>
      </c>
      <c r="S38" s="41" t="s">
        <v>37</v>
      </c>
      <c r="T38" s="42">
        <f t="shared" ref="T38:Z38" si="57">SUM(T39:T46,T49:T53)</f>
        <v>950587.20530999999</v>
      </c>
      <c r="U38" s="43">
        <f t="shared" si="57"/>
        <v>1183626.2538600001</v>
      </c>
      <c r="V38" s="44">
        <f t="shared" si="57"/>
        <v>1288464</v>
      </c>
      <c r="W38" s="45">
        <f t="shared" si="57"/>
        <v>1266324</v>
      </c>
      <c r="X38" s="45">
        <f t="shared" si="57"/>
        <v>1188899</v>
      </c>
      <c r="Y38" s="282">
        <f t="shared" si="57"/>
        <v>1234113</v>
      </c>
      <c r="Z38" s="292">
        <f t="shared" si="57"/>
        <v>1281248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>
        <v>0</v>
      </c>
      <c r="I39" s="278"/>
      <c r="J39" s="24" t="s">
        <v>38</v>
      </c>
      <c r="K39" s="25"/>
      <c r="L39" s="26"/>
      <c r="M39" s="27"/>
      <c r="N39" s="28"/>
      <c r="O39" s="28"/>
      <c r="P39" s="55"/>
      <c r="Q39" s="291"/>
      <c r="S39" s="24" t="s">
        <v>38</v>
      </c>
      <c r="T39" s="38">
        <f t="shared" ref="T39:Z42" si="58">+B39-K39</f>
        <v>0</v>
      </c>
      <c r="U39" s="26">
        <f t="shared" si="58"/>
        <v>0</v>
      </c>
      <c r="V39" s="39">
        <f t="shared" si="58"/>
        <v>0</v>
      </c>
      <c r="W39" s="40">
        <f t="shared" si="58"/>
        <v>0</v>
      </c>
      <c r="X39" s="40">
        <f t="shared" si="58"/>
        <v>0</v>
      </c>
      <c r="Y39" s="283">
        <f t="shared" si="58"/>
        <v>0</v>
      </c>
      <c r="Z39" s="293">
        <f t="shared" si="58"/>
        <v>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ht="13.5" customHeight="1" x14ac:dyDescent="0.25">
      <c r="A40" s="24" t="s">
        <v>39</v>
      </c>
      <c r="B40" s="77">
        <v>140288.88676999998</v>
      </c>
      <c r="C40" s="48">
        <v>132357</v>
      </c>
      <c r="D40" s="356">
        <v>133455</v>
      </c>
      <c r="E40" s="357">
        <v>135670</v>
      </c>
      <c r="F40" s="47">
        <v>138366</v>
      </c>
      <c r="G40" s="318">
        <v>142105</v>
      </c>
      <c r="H40" s="316">
        <v>145530</v>
      </c>
      <c r="I40" s="278"/>
      <c r="J40" s="24" t="s">
        <v>39</v>
      </c>
      <c r="K40" s="25"/>
      <c r="L40" s="26"/>
      <c r="M40" s="27"/>
      <c r="N40" s="28"/>
      <c r="O40" s="28"/>
      <c r="P40" s="55"/>
      <c r="Q40" s="291"/>
      <c r="S40" s="24" t="s">
        <v>39</v>
      </c>
      <c r="T40" s="38">
        <f t="shared" si="58"/>
        <v>140288.88676999998</v>
      </c>
      <c r="U40" s="26">
        <f t="shared" si="58"/>
        <v>132357</v>
      </c>
      <c r="V40" s="52">
        <f t="shared" si="58"/>
        <v>133455</v>
      </c>
      <c r="W40" s="55">
        <f t="shared" si="58"/>
        <v>135670</v>
      </c>
      <c r="X40" s="28">
        <f t="shared" si="58"/>
        <v>138366</v>
      </c>
      <c r="Y40" s="55">
        <f t="shared" si="58"/>
        <v>142105</v>
      </c>
      <c r="Z40" s="291">
        <f t="shared" si="58"/>
        <v>145530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/>
      <c r="H41" s="316"/>
      <c r="I41" s="278"/>
      <c r="J41" s="24" t="s">
        <v>40</v>
      </c>
      <c r="K41" s="25"/>
      <c r="L41" s="26"/>
      <c r="M41" s="27"/>
      <c r="N41" s="28"/>
      <c r="O41" s="28"/>
      <c r="P41" s="55"/>
      <c r="Q41" s="291"/>
      <c r="S41" s="24" t="s">
        <v>40</v>
      </c>
      <c r="T41" s="25">
        <f t="shared" si="58"/>
        <v>0</v>
      </c>
      <c r="U41" s="26">
        <f t="shared" si="58"/>
        <v>0</v>
      </c>
      <c r="V41" s="52">
        <f t="shared" si="58"/>
        <v>0</v>
      </c>
      <c r="W41" s="55">
        <f t="shared" si="58"/>
        <v>0</v>
      </c>
      <c r="X41" s="28">
        <f t="shared" si="58"/>
        <v>0</v>
      </c>
      <c r="Y41" s="55">
        <f t="shared" si="58"/>
        <v>0</v>
      </c>
      <c r="Z41" s="291">
        <f t="shared" si="58"/>
        <v>0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ht="13.5" customHeight="1" x14ac:dyDescent="0.25">
      <c r="A42" s="53" t="s">
        <v>41</v>
      </c>
      <c r="B42" s="77">
        <v>559965.65262000007</v>
      </c>
      <c r="C42" s="48">
        <v>463886</v>
      </c>
      <c r="D42" s="356">
        <v>425843</v>
      </c>
      <c r="E42" s="357">
        <v>381820</v>
      </c>
      <c r="F42" s="47">
        <v>267881</v>
      </c>
      <c r="G42" s="318">
        <v>272257</v>
      </c>
      <c r="H42" s="316">
        <v>279451</v>
      </c>
      <c r="I42" s="278"/>
      <c r="J42" s="24" t="s">
        <v>41</v>
      </c>
      <c r="K42" s="25"/>
      <c r="L42" s="26"/>
      <c r="M42" s="27"/>
      <c r="N42" s="28"/>
      <c r="O42" s="28"/>
      <c r="P42" s="55"/>
      <c r="Q42" s="291"/>
      <c r="S42" s="24" t="s">
        <v>41</v>
      </c>
      <c r="T42" s="25">
        <f t="shared" si="58"/>
        <v>559965.65262000007</v>
      </c>
      <c r="U42" s="26">
        <f t="shared" si="58"/>
        <v>463886</v>
      </c>
      <c r="V42" s="52">
        <f t="shared" si="58"/>
        <v>425843</v>
      </c>
      <c r="W42" s="55">
        <f t="shared" si="58"/>
        <v>381820</v>
      </c>
      <c r="X42" s="28">
        <f t="shared" si="58"/>
        <v>267881</v>
      </c>
      <c r="Y42" s="55">
        <f t="shared" si="58"/>
        <v>272257</v>
      </c>
      <c r="Z42" s="291">
        <f t="shared" si="58"/>
        <v>279451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ht="13.5" customHeight="1" x14ac:dyDescent="0.25">
      <c r="A43" s="53" t="s">
        <v>88</v>
      </c>
      <c r="B43" s="77">
        <v>55672.171799999996</v>
      </c>
      <c r="C43" s="48">
        <v>0</v>
      </c>
      <c r="D43" s="356">
        <v>0</v>
      </c>
      <c r="E43" s="357">
        <v>0</v>
      </c>
      <c r="F43" s="47">
        <v>0</v>
      </c>
      <c r="G43" s="318">
        <v>0</v>
      </c>
      <c r="H43" s="316">
        <v>0</v>
      </c>
      <c r="I43" s="278"/>
      <c r="J43" s="24" t="s">
        <v>88</v>
      </c>
      <c r="K43" s="25"/>
      <c r="L43" s="26"/>
      <c r="M43" s="27"/>
      <c r="N43" s="28"/>
      <c r="O43" s="28"/>
      <c r="P43" s="55"/>
      <c r="Q43" s="291"/>
      <c r="S43" s="24" t="s">
        <v>88</v>
      </c>
      <c r="T43" s="25">
        <f t="shared" ref="T43:T45" si="59">+B43-K43</f>
        <v>55672.171799999996</v>
      </c>
      <c r="U43" s="26">
        <f t="shared" ref="U43:U45" si="60">+C43-L43</f>
        <v>0</v>
      </c>
      <c r="V43" s="52">
        <f t="shared" ref="V43:V45" si="61">+D43-M43</f>
        <v>0</v>
      </c>
      <c r="W43" s="55">
        <f t="shared" ref="W43:W45" si="62">+E43-N43</f>
        <v>0</v>
      </c>
      <c r="X43" s="28">
        <f t="shared" ref="X43:X45" si="63">+F43-O43</f>
        <v>0</v>
      </c>
      <c r="Y43" s="55">
        <f t="shared" ref="Y43:Z45" si="64">+G43-P43</f>
        <v>0</v>
      </c>
      <c r="Z43" s="291">
        <f t="shared" si="64"/>
        <v>0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ht="13.5" customHeight="1" x14ac:dyDescent="0.25">
      <c r="A44" s="53" t="s">
        <v>89</v>
      </c>
      <c r="B44" s="77">
        <v>7528.9286100000008</v>
      </c>
      <c r="C44" s="48">
        <v>347.465299999997</v>
      </c>
      <c r="D44" s="356">
        <v>0</v>
      </c>
      <c r="E44" s="357">
        <v>0</v>
      </c>
      <c r="F44" s="47">
        <v>0</v>
      </c>
      <c r="G44" s="318">
        <v>0</v>
      </c>
      <c r="H44" s="316">
        <v>0</v>
      </c>
      <c r="I44" s="278"/>
      <c r="J44" s="24" t="s">
        <v>89</v>
      </c>
      <c r="K44" s="25"/>
      <c r="L44" s="26"/>
      <c r="M44" s="27"/>
      <c r="N44" s="28"/>
      <c r="O44" s="28"/>
      <c r="P44" s="55"/>
      <c r="Q44" s="291"/>
      <c r="S44" s="24" t="s">
        <v>89</v>
      </c>
      <c r="T44" s="25">
        <f t="shared" si="59"/>
        <v>7528.9286100000008</v>
      </c>
      <c r="U44" s="26">
        <f t="shared" si="60"/>
        <v>347.465299999997</v>
      </c>
      <c r="V44" s="52">
        <f t="shared" si="61"/>
        <v>0</v>
      </c>
      <c r="W44" s="55">
        <f t="shared" si="62"/>
        <v>0</v>
      </c>
      <c r="X44" s="28">
        <f t="shared" si="63"/>
        <v>0</v>
      </c>
      <c r="Y44" s="55">
        <f t="shared" si="64"/>
        <v>0</v>
      </c>
      <c r="Z44" s="291">
        <f t="shared" si="64"/>
        <v>0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13.5" customHeight="1" x14ac:dyDescent="0.25">
      <c r="A45" s="53" t="s">
        <v>42</v>
      </c>
      <c r="B45" s="77">
        <v>2117.90022</v>
      </c>
      <c r="C45" s="48">
        <v>1242.38833</v>
      </c>
      <c r="D45" s="356">
        <v>400</v>
      </c>
      <c r="E45" s="357">
        <v>0</v>
      </c>
      <c r="F45" s="47">
        <v>0</v>
      </c>
      <c r="G45" s="318">
        <v>0</v>
      </c>
      <c r="H45" s="316">
        <v>0</v>
      </c>
      <c r="I45" s="278"/>
      <c r="J45" s="24" t="s">
        <v>42</v>
      </c>
      <c r="K45" s="25"/>
      <c r="L45" s="26"/>
      <c r="M45" s="27"/>
      <c r="N45" s="28"/>
      <c r="O45" s="28"/>
      <c r="P45" s="55"/>
      <c r="Q45" s="291"/>
      <c r="S45" s="24" t="s">
        <v>42</v>
      </c>
      <c r="T45" s="25">
        <f t="shared" si="59"/>
        <v>2117.90022</v>
      </c>
      <c r="U45" s="26">
        <f t="shared" si="60"/>
        <v>1242.38833</v>
      </c>
      <c r="V45" s="52">
        <f t="shared" si="61"/>
        <v>400</v>
      </c>
      <c r="W45" s="55">
        <f t="shared" si="62"/>
        <v>0</v>
      </c>
      <c r="X45" s="28">
        <f t="shared" si="63"/>
        <v>0</v>
      </c>
      <c r="Y45" s="55">
        <f t="shared" si="64"/>
        <v>0</v>
      </c>
      <c r="Z45" s="291">
        <f t="shared" si="64"/>
        <v>0</v>
      </c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3.5" customHeight="1" x14ac:dyDescent="0.25">
      <c r="A46" s="53" t="s">
        <v>43</v>
      </c>
      <c r="B46" s="77">
        <f>+B47+B48</f>
        <v>360.98953999999998</v>
      </c>
      <c r="C46" s="48">
        <f>+C47+C48</f>
        <v>345.19947000000002</v>
      </c>
      <c r="D46" s="356">
        <f t="shared" ref="D46:H46" si="65">+D47+D48</f>
        <v>520</v>
      </c>
      <c r="E46" s="357">
        <f t="shared" si="65"/>
        <v>520</v>
      </c>
      <c r="F46" s="47">
        <f t="shared" si="65"/>
        <v>520</v>
      </c>
      <c r="G46" s="318">
        <f t="shared" si="65"/>
        <v>520</v>
      </c>
      <c r="H46" s="316">
        <f t="shared" si="65"/>
        <v>520</v>
      </c>
      <c r="I46" s="278"/>
      <c r="J46" s="24" t="s">
        <v>43</v>
      </c>
      <c r="K46" s="25"/>
      <c r="L46" s="26"/>
      <c r="M46" s="27"/>
      <c r="N46" s="28"/>
      <c r="O46" s="28"/>
      <c r="P46" s="55"/>
      <c r="Q46" s="291"/>
      <c r="S46" s="53" t="s">
        <v>43</v>
      </c>
      <c r="T46" s="38">
        <f t="shared" ref="T46:T61" si="66">+B46-K46</f>
        <v>360.98953999999998</v>
      </c>
      <c r="U46" s="26">
        <f t="shared" ref="U46:U61" si="67">+C46-L46</f>
        <v>345.19947000000002</v>
      </c>
      <c r="V46" s="39">
        <f t="shared" ref="V46:V61" si="68">+D46-M46</f>
        <v>520</v>
      </c>
      <c r="W46" s="40">
        <f t="shared" ref="W46:W61" si="69">+E46-N46</f>
        <v>520</v>
      </c>
      <c r="X46" s="40">
        <f t="shared" ref="X46:X61" si="70">+F46-O46</f>
        <v>520</v>
      </c>
      <c r="Y46" s="283">
        <f t="shared" ref="Y46:Y61" si="71">+G46-P46</f>
        <v>520</v>
      </c>
      <c r="Z46" s="293">
        <f t="shared" ref="Z46:Z61" si="72">+H46-Q46</f>
        <v>520</v>
      </c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13.5" customHeight="1" x14ac:dyDescent="0.25">
      <c r="A47" s="56" t="s">
        <v>10</v>
      </c>
      <c r="B47" s="77">
        <v>82.454829999999959</v>
      </c>
      <c r="C47" s="48">
        <v>82.985879999999995</v>
      </c>
      <c r="D47" s="356">
        <v>0</v>
      </c>
      <c r="E47" s="357">
        <v>0</v>
      </c>
      <c r="F47" s="47">
        <v>0</v>
      </c>
      <c r="G47" s="318">
        <v>0</v>
      </c>
      <c r="H47" s="316">
        <v>0</v>
      </c>
      <c r="I47" s="278"/>
      <c r="J47" s="36" t="s">
        <v>10</v>
      </c>
      <c r="K47" s="25"/>
      <c r="L47" s="26"/>
      <c r="M47" s="27"/>
      <c r="N47" s="28"/>
      <c r="O47" s="28"/>
      <c r="P47" s="55"/>
      <c r="Q47" s="291"/>
      <c r="S47" s="56" t="s">
        <v>10</v>
      </c>
      <c r="T47" s="38">
        <f t="shared" si="66"/>
        <v>82.454829999999959</v>
      </c>
      <c r="U47" s="26">
        <f t="shared" si="67"/>
        <v>82.985879999999995</v>
      </c>
      <c r="V47" s="39">
        <f t="shared" si="68"/>
        <v>0</v>
      </c>
      <c r="W47" s="40">
        <f t="shared" si="69"/>
        <v>0</v>
      </c>
      <c r="X47" s="40">
        <f t="shared" si="70"/>
        <v>0</v>
      </c>
      <c r="Y47" s="283">
        <f t="shared" si="71"/>
        <v>0</v>
      </c>
      <c r="Z47" s="293">
        <f t="shared" si="72"/>
        <v>0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ht="13.5" customHeight="1" x14ac:dyDescent="0.25">
      <c r="A48" s="56" t="s">
        <v>11</v>
      </c>
      <c r="B48" s="77">
        <v>278.53471000000002</v>
      </c>
      <c r="C48" s="48">
        <v>262.21359000000001</v>
      </c>
      <c r="D48" s="356">
        <v>520</v>
      </c>
      <c r="E48" s="357">
        <v>520</v>
      </c>
      <c r="F48" s="47">
        <v>520</v>
      </c>
      <c r="G48" s="318">
        <v>520</v>
      </c>
      <c r="H48" s="316">
        <v>520</v>
      </c>
      <c r="I48" s="278"/>
      <c r="J48" s="36" t="s">
        <v>11</v>
      </c>
      <c r="K48" s="25"/>
      <c r="L48" s="26"/>
      <c r="M48" s="27"/>
      <c r="N48" s="28"/>
      <c r="O48" s="28"/>
      <c r="P48" s="55"/>
      <c r="Q48" s="291"/>
      <c r="S48" s="56" t="s">
        <v>11</v>
      </c>
      <c r="T48" s="38">
        <f t="shared" si="66"/>
        <v>278.53471000000002</v>
      </c>
      <c r="U48" s="26">
        <f t="shared" si="67"/>
        <v>262.21359000000001</v>
      </c>
      <c r="V48" s="39">
        <f t="shared" si="68"/>
        <v>520</v>
      </c>
      <c r="W48" s="40">
        <f t="shared" si="69"/>
        <v>520</v>
      </c>
      <c r="X48" s="40">
        <f t="shared" si="70"/>
        <v>520</v>
      </c>
      <c r="Y48" s="283">
        <f t="shared" si="71"/>
        <v>520</v>
      </c>
      <c r="Z48" s="293">
        <f t="shared" si="72"/>
        <v>520</v>
      </c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37" ht="13.5" customHeight="1" x14ac:dyDescent="0.25">
      <c r="A49" s="53" t="s">
        <v>44</v>
      </c>
      <c r="B49" s="77">
        <v>765.42763000000002</v>
      </c>
      <c r="C49" s="48">
        <v>273.24873000000002</v>
      </c>
      <c r="D49" s="356">
        <v>1332</v>
      </c>
      <c r="E49" s="357">
        <v>1000</v>
      </c>
      <c r="F49" s="47">
        <v>1000</v>
      </c>
      <c r="G49" s="318">
        <v>1000</v>
      </c>
      <c r="H49" s="316">
        <v>1000</v>
      </c>
      <c r="I49" s="278"/>
      <c r="J49" s="24" t="s">
        <v>44</v>
      </c>
      <c r="K49" s="25"/>
      <c r="L49" s="26"/>
      <c r="M49" s="27"/>
      <c r="N49" s="28"/>
      <c r="O49" s="28"/>
      <c r="P49" s="55"/>
      <c r="Q49" s="291"/>
      <c r="S49" s="53" t="s">
        <v>44</v>
      </c>
      <c r="T49" s="38">
        <f t="shared" si="66"/>
        <v>765.42763000000002</v>
      </c>
      <c r="U49" s="26">
        <f t="shared" si="67"/>
        <v>273.24873000000002</v>
      </c>
      <c r="V49" s="39">
        <f t="shared" si="68"/>
        <v>1332</v>
      </c>
      <c r="W49" s="40">
        <f t="shared" si="69"/>
        <v>1000</v>
      </c>
      <c r="X49" s="40">
        <f t="shared" si="70"/>
        <v>1000</v>
      </c>
      <c r="Y49" s="283">
        <f t="shared" si="71"/>
        <v>1000</v>
      </c>
      <c r="Z49" s="293">
        <f t="shared" si="72"/>
        <v>1000</v>
      </c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1:37" ht="13.5" customHeight="1" x14ac:dyDescent="0.25">
      <c r="A50" s="53" t="s">
        <v>45</v>
      </c>
      <c r="B50" s="77">
        <v>30281.73488</v>
      </c>
      <c r="C50" s="48">
        <v>27955.40238</v>
      </c>
      <c r="D50" s="356">
        <v>28171</v>
      </c>
      <c r="E50" s="357">
        <v>17598</v>
      </c>
      <c r="F50" s="47">
        <v>18055</v>
      </c>
      <c r="G50" s="318">
        <v>18717</v>
      </c>
      <c r="H50" s="316">
        <v>19317</v>
      </c>
      <c r="I50" s="278"/>
      <c r="J50" s="53" t="s">
        <v>45</v>
      </c>
      <c r="K50" s="25"/>
      <c r="L50" s="26"/>
      <c r="M50" s="27"/>
      <c r="N50" s="28"/>
      <c r="O50" s="28"/>
      <c r="P50" s="55"/>
      <c r="Q50" s="291"/>
      <c r="S50" s="53" t="s">
        <v>45</v>
      </c>
      <c r="T50" s="38">
        <f t="shared" si="66"/>
        <v>30281.73488</v>
      </c>
      <c r="U50" s="26">
        <f t="shared" si="67"/>
        <v>27955.40238</v>
      </c>
      <c r="V50" s="39">
        <f t="shared" si="68"/>
        <v>28171</v>
      </c>
      <c r="W50" s="40">
        <f t="shared" si="69"/>
        <v>17598</v>
      </c>
      <c r="X50" s="40">
        <f t="shared" si="70"/>
        <v>18055</v>
      </c>
      <c r="Y50" s="283">
        <f t="shared" si="71"/>
        <v>18717</v>
      </c>
      <c r="Z50" s="293">
        <f t="shared" si="72"/>
        <v>19317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1:37" ht="13.5" customHeight="1" x14ac:dyDescent="0.25">
      <c r="A51" s="53" t="s">
        <v>92</v>
      </c>
      <c r="B51" s="77">
        <v>0</v>
      </c>
      <c r="C51" s="48">
        <v>389335.72335000004</v>
      </c>
      <c r="D51" s="356">
        <v>484450</v>
      </c>
      <c r="E51" s="357">
        <v>504661</v>
      </c>
      <c r="F51" s="47">
        <v>527525</v>
      </c>
      <c r="G51" s="318">
        <v>552260</v>
      </c>
      <c r="H51" s="316">
        <v>576586</v>
      </c>
      <c r="I51" s="278"/>
      <c r="J51" s="53" t="s">
        <v>92</v>
      </c>
      <c r="K51" s="25"/>
      <c r="L51" s="26"/>
      <c r="M51" s="27"/>
      <c r="N51" s="28"/>
      <c r="O51" s="28"/>
      <c r="P51" s="55"/>
      <c r="Q51" s="291"/>
      <c r="S51" s="53" t="s">
        <v>92</v>
      </c>
      <c r="T51" s="38">
        <f t="shared" ref="T51" si="73">+B51-K51</f>
        <v>0</v>
      </c>
      <c r="U51" s="26">
        <f t="shared" ref="U51" si="74">+C51-L51</f>
        <v>389335.72335000004</v>
      </c>
      <c r="V51" s="39">
        <f t="shared" ref="V51" si="75">+D51-M51</f>
        <v>484450</v>
      </c>
      <c r="W51" s="40">
        <f t="shared" ref="W51" si="76">+E51-N51</f>
        <v>504661</v>
      </c>
      <c r="X51" s="40">
        <f t="shared" ref="X51" si="77">+F51-O51</f>
        <v>527525</v>
      </c>
      <c r="Y51" s="283">
        <f t="shared" ref="Y51" si="78">+G51-P51</f>
        <v>552260</v>
      </c>
      <c r="Z51" s="293">
        <f t="shared" ref="Z51" si="79">+H51-Q51</f>
        <v>576586</v>
      </c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7" ht="13.5" customHeight="1" x14ac:dyDescent="0.25">
      <c r="A52" s="53" t="s">
        <v>46</v>
      </c>
      <c r="B52" s="77">
        <v>10.8108</v>
      </c>
      <c r="C52" s="48">
        <v>-0.78783000000000003</v>
      </c>
      <c r="D52" s="356">
        <v>2</v>
      </c>
      <c r="E52" s="357">
        <v>0</v>
      </c>
      <c r="F52" s="47">
        <v>0</v>
      </c>
      <c r="G52" s="318">
        <v>0</v>
      </c>
      <c r="H52" s="316">
        <v>0</v>
      </c>
      <c r="I52" s="278"/>
      <c r="J52" s="24" t="s">
        <v>46</v>
      </c>
      <c r="K52" s="25"/>
      <c r="L52" s="26"/>
      <c r="M52" s="27"/>
      <c r="N52" s="28"/>
      <c r="O52" s="28"/>
      <c r="P52" s="55"/>
      <c r="Q52" s="291"/>
      <c r="S52" s="53" t="s">
        <v>46</v>
      </c>
      <c r="T52" s="38">
        <f t="shared" si="66"/>
        <v>10.8108</v>
      </c>
      <c r="U52" s="26">
        <f t="shared" si="67"/>
        <v>-0.78783000000000003</v>
      </c>
      <c r="V52" s="39">
        <f t="shared" si="68"/>
        <v>2</v>
      </c>
      <c r="W52" s="40">
        <f t="shared" si="69"/>
        <v>0</v>
      </c>
      <c r="X52" s="40">
        <f t="shared" si="70"/>
        <v>0</v>
      </c>
      <c r="Y52" s="283">
        <f t="shared" si="71"/>
        <v>0</v>
      </c>
      <c r="Z52" s="293">
        <f t="shared" si="72"/>
        <v>0</v>
      </c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7" ht="13.5" customHeight="1" x14ac:dyDescent="0.25">
      <c r="A53" s="24" t="s">
        <v>47</v>
      </c>
      <c r="B53" s="73">
        <f t="shared" ref="B53" si="80">+B54+B55+B56+B57</f>
        <v>153594.70243999999</v>
      </c>
      <c r="C53" s="48">
        <f>+C54+C55+C56+C57</f>
        <v>167884.61413</v>
      </c>
      <c r="D53" s="74">
        <f t="shared" ref="D53:H53" si="81">+D54+D55+D56+D57</f>
        <v>214291</v>
      </c>
      <c r="E53" s="47">
        <f t="shared" si="81"/>
        <v>225055</v>
      </c>
      <c r="F53" s="47">
        <f t="shared" si="81"/>
        <v>235552</v>
      </c>
      <c r="G53" s="318">
        <f t="shared" si="81"/>
        <v>247254</v>
      </c>
      <c r="H53" s="316">
        <f t="shared" si="81"/>
        <v>258844</v>
      </c>
      <c r="I53" s="278"/>
      <c r="J53" s="24" t="s">
        <v>48</v>
      </c>
      <c r="K53" s="25">
        <f t="shared" ref="K53:P53" si="82">+SUM(K54:K57)</f>
        <v>0</v>
      </c>
      <c r="L53" s="26">
        <f t="shared" si="82"/>
        <v>0</v>
      </c>
      <c r="M53" s="27">
        <f t="shared" si="82"/>
        <v>0</v>
      </c>
      <c r="N53" s="28">
        <f t="shared" si="82"/>
        <v>0</v>
      </c>
      <c r="O53" s="28">
        <f t="shared" si="82"/>
        <v>0</v>
      </c>
      <c r="P53" s="55">
        <f t="shared" si="82"/>
        <v>0</v>
      </c>
      <c r="Q53" s="291">
        <f t="shared" ref="Q53" si="83">+SUM(Q54:Q57)</f>
        <v>0</v>
      </c>
      <c r="S53" s="24" t="s">
        <v>48</v>
      </c>
      <c r="T53" s="25">
        <f t="shared" si="66"/>
        <v>153594.70243999999</v>
      </c>
      <c r="U53" s="26">
        <f t="shared" si="67"/>
        <v>167884.61413</v>
      </c>
      <c r="V53" s="27">
        <f t="shared" si="68"/>
        <v>214291</v>
      </c>
      <c r="W53" s="28">
        <f t="shared" si="69"/>
        <v>225055</v>
      </c>
      <c r="X53" s="28">
        <f t="shared" si="70"/>
        <v>235552</v>
      </c>
      <c r="Y53" s="55">
        <f t="shared" si="71"/>
        <v>247254</v>
      </c>
      <c r="Z53" s="291">
        <f t="shared" si="72"/>
        <v>258844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1:37" ht="13.5" customHeight="1" x14ac:dyDescent="0.25">
      <c r="A54" s="36" t="s">
        <v>10</v>
      </c>
      <c r="B54" s="73">
        <f>+B58+B59+B60+73.45814</f>
        <v>111991.48939</v>
      </c>
      <c r="C54" s="48">
        <f>+C58+C59+C60-61.92194</f>
        <v>123114.80039999999</v>
      </c>
      <c r="D54" s="74">
        <f t="shared" ref="D54:H54" si="84">+D58+D59+D60</f>
        <v>157640</v>
      </c>
      <c r="E54" s="47">
        <f t="shared" si="84"/>
        <v>164216</v>
      </c>
      <c r="F54" s="47">
        <f t="shared" si="84"/>
        <v>171656</v>
      </c>
      <c r="G54" s="318">
        <f t="shared" si="84"/>
        <v>179705</v>
      </c>
      <c r="H54" s="316">
        <f t="shared" si="84"/>
        <v>187621</v>
      </c>
      <c r="I54" s="278"/>
      <c r="J54" s="36" t="s">
        <v>10</v>
      </c>
      <c r="K54" s="25"/>
      <c r="L54" s="26"/>
      <c r="M54" s="27"/>
      <c r="N54" s="28">
        <f>+N58+N59+N60</f>
        <v>0</v>
      </c>
      <c r="O54" s="28">
        <f t="shared" ref="O54:Q54" si="85">+O58+O59+O60</f>
        <v>0</v>
      </c>
      <c r="P54" s="55">
        <f t="shared" si="85"/>
        <v>0</v>
      </c>
      <c r="Q54" s="291">
        <f t="shared" si="85"/>
        <v>0</v>
      </c>
      <c r="S54" s="36" t="s">
        <v>10</v>
      </c>
      <c r="T54" s="25">
        <f t="shared" si="66"/>
        <v>111991.48939</v>
      </c>
      <c r="U54" s="26">
        <f t="shared" si="67"/>
        <v>123114.80039999999</v>
      </c>
      <c r="V54" s="27">
        <f t="shared" si="68"/>
        <v>157640</v>
      </c>
      <c r="W54" s="28">
        <f t="shared" si="69"/>
        <v>164216</v>
      </c>
      <c r="X54" s="28">
        <f t="shared" si="70"/>
        <v>171656</v>
      </c>
      <c r="Y54" s="55">
        <f t="shared" si="71"/>
        <v>179705</v>
      </c>
      <c r="Z54" s="291">
        <f t="shared" si="72"/>
        <v>187621</v>
      </c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37" ht="14.25" customHeight="1" x14ac:dyDescent="0.25">
      <c r="A55" s="57" t="s">
        <v>11</v>
      </c>
      <c r="B55" s="73">
        <v>2352.0509299999999</v>
      </c>
      <c r="C55" s="48">
        <v>35.377330000000001</v>
      </c>
      <c r="D55" s="74">
        <v>0</v>
      </c>
      <c r="E55" s="47">
        <v>0</v>
      </c>
      <c r="F55" s="47">
        <v>0</v>
      </c>
      <c r="G55" s="318">
        <v>0</v>
      </c>
      <c r="H55" s="316">
        <v>0</v>
      </c>
      <c r="I55" s="278"/>
      <c r="J55" s="57" t="s">
        <v>11</v>
      </c>
      <c r="K55" s="25"/>
      <c r="L55" s="26"/>
      <c r="M55" s="27"/>
      <c r="N55" s="28"/>
      <c r="O55" s="28"/>
      <c r="P55" s="55"/>
      <c r="Q55" s="291"/>
      <c r="S55" s="57" t="s">
        <v>11</v>
      </c>
      <c r="T55" s="25">
        <f t="shared" si="66"/>
        <v>2352.0509299999999</v>
      </c>
      <c r="U55" s="26">
        <f t="shared" si="67"/>
        <v>35.377330000000001</v>
      </c>
      <c r="V55" s="27">
        <f t="shared" si="68"/>
        <v>0</v>
      </c>
      <c r="W55" s="28">
        <f t="shared" si="69"/>
        <v>0</v>
      </c>
      <c r="X55" s="28">
        <f t="shared" si="70"/>
        <v>0</v>
      </c>
      <c r="Y55" s="55">
        <f t="shared" si="71"/>
        <v>0</v>
      </c>
      <c r="Z55" s="291">
        <f t="shared" si="72"/>
        <v>0</v>
      </c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37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6">
        <v>0</v>
      </c>
      <c r="I56" s="278"/>
      <c r="J56" s="58" t="s">
        <v>12</v>
      </c>
      <c r="K56" s="25"/>
      <c r="L56" s="26"/>
      <c r="M56" s="27"/>
      <c r="N56" s="28"/>
      <c r="O56" s="28"/>
      <c r="P56" s="55"/>
      <c r="Q56" s="291"/>
      <c r="S56" s="58" t="s">
        <v>12</v>
      </c>
      <c r="T56" s="25">
        <f t="shared" si="66"/>
        <v>0</v>
      </c>
      <c r="U56" s="26">
        <f t="shared" si="67"/>
        <v>0</v>
      </c>
      <c r="V56" s="27">
        <f t="shared" si="68"/>
        <v>0</v>
      </c>
      <c r="W56" s="28">
        <f t="shared" si="69"/>
        <v>0</v>
      </c>
      <c r="X56" s="28">
        <f t="shared" si="70"/>
        <v>0</v>
      </c>
      <c r="Y56" s="55">
        <f t="shared" si="71"/>
        <v>0</v>
      </c>
      <c r="Z56" s="291">
        <f t="shared" si="72"/>
        <v>0</v>
      </c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37" ht="14.25" customHeight="1" x14ac:dyDescent="0.25">
      <c r="A57" s="36" t="s">
        <v>49</v>
      </c>
      <c r="B57" s="73">
        <f t="shared" ref="B57:G57" si="86">+B61</f>
        <v>39251.162120000001</v>
      </c>
      <c r="C57" s="48">
        <f t="shared" si="86"/>
        <v>44734.436399999999</v>
      </c>
      <c r="D57" s="74">
        <f t="shared" si="86"/>
        <v>56651</v>
      </c>
      <c r="E57" s="47">
        <f t="shared" si="86"/>
        <v>60839</v>
      </c>
      <c r="F57" s="47">
        <f t="shared" si="86"/>
        <v>63896</v>
      </c>
      <c r="G57" s="318">
        <f t="shared" si="86"/>
        <v>67549</v>
      </c>
      <c r="H57" s="316">
        <f t="shared" ref="H57" si="87">+H61</f>
        <v>71223</v>
      </c>
      <c r="I57" s="278"/>
      <c r="J57" s="36" t="s">
        <v>49</v>
      </c>
      <c r="K57" s="25"/>
      <c r="L57" s="26"/>
      <c r="M57" s="27"/>
      <c r="N57" s="28">
        <f>+N61</f>
        <v>0</v>
      </c>
      <c r="O57" s="28">
        <f t="shared" ref="O57:Q57" si="88">+O61</f>
        <v>0</v>
      </c>
      <c r="P57" s="55">
        <f t="shared" si="88"/>
        <v>0</v>
      </c>
      <c r="Q57" s="291">
        <f t="shared" si="88"/>
        <v>0</v>
      </c>
      <c r="S57" s="36" t="s">
        <v>49</v>
      </c>
      <c r="T57" s="25">
        <f t="shared" si="66"/>
        <v>39251.162120000001</v>
      </c>
      <c r="U57" s="26">
        <f t="shared" si="67"/>
        <v>44734.436399999999</v>
      </c>
      <c r="V57" s="27">
        <f t="shared" si="68"/>
        <v>56651</v>
      </c>
      <c r="W57" s="28">
        <f t="shared" si="69"/>
        <v>60839</v>
      </c>
      <c r="X57" s="28">
        <f t="shared" si="70"/>
        <v>63896</v>
      </c>
      <c r="Y57" s="55">
        <f t="shared" si="71"/>
        <v>67549</v>
      </c>
      <c r="Z57" s="291">
        <f t="shared" si="72"/>
        <v>71223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1:37" ht="14.25" customHeight="1" x14ac:dyDescent="0.25">
      <c r="A58" s="59" t="s">
        <v>50</v>
      </c>
      <c r="B58" s="73">
        <v>0.25095000000000001</v>
      </c>
      <c r="C58" s="48">
        <v>0.12627999999999995</v>
      </c>
      <c r="D58" s="74">
        <v>0</v>
      </c>
      <c r="E58" s="47">
        <v>0</v>
      </c>
      <c r="F58" s="47">
        <v>0</v>
      </c>
      <c r="G58" s="318">
        <v>0</v>
      </c>
      <c r="H58" s="316">
        <v>0</v>
      </c>
      <c r="I58" s="278"/>
      <c r="J58" s="59" t="s">
        <v>50</v>
      </c>
      <c r="K58" s="25"/>
      <c r="L58" s="26"/>
      <c r="M58" s="27"/>
      <c r="N58" s="28"/>
      <c r="O58" s="28"/>
      <c r="P58" s="55"/>
      <c r="Q58" s="291"/>
      <c r="S58" s="59" t="s">
        <v>50</v>
      </c>
      <c r="T58" s="25">
        <f t="shared" si="66"/>
        <v>0.25095000000000001</v>
      </c>
      <c r="U58" s="26">
        <f t="shared" si="67"/>
        <v>0.12627999999999995</v>
      </c>
      <c r="V58" s="27">
        <f t="shared" si="68"/>
        <v>0</v>
      </c>
      <c r="W58" s="28">
        <f t="shared" si="69"/>
        <v>0</v>
      </c>
      <c r="X58" s="28">
        <f t="shared" si="70"/>
        <v>0</v>
      </c>
      <c r="Y58" s="55">
        <f t="shared" si="71"/>
        <v>0</v>
      </c>
      <c r="Z58" s="291">
        <f t="shared" si="72"/>
        <v>0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1:37" ht="14.25" customHeight="1" x14ac:dyDescent="0.25">
      <c r="A59" s="59" t="s">
        <v>51</v>
      </c>
      <c r="B59" s="73">
        <v>-42.588760000000001</v>
      </c>
      <c r="C59" s="48">
        <v>2.1133199999999999</v>
      </c>
      <c r="D59" s="74">
        <v>0</v>
      </c>
      <c r="E59" s="47">
        <v>0</v>
      </c>
      <c r="F59" s="47">
        <v>0</v>
      </c>
      <c r="G59" s="318">
        <v>0</v>
      </c>
      <c r="H59" s="316">
        <v>0</v>
      </c>
      <c r="I59" s="278"/>
      <c r="J59" s="59" t="s">
        <v>51</v>
      </c>
      <c r="K59" s="25"/>
      <c r="L59" s="26"/>
      <c r="M59" s="27"/>
      <c r="N59" s="28"/>
      <c r="O59" s="28"/>
      <c r="P59" s="55"/>
      <c r="Q59" s="291"/>
      <c r="S59" s="59" t="s">
        <v>51</v>
      </c>
      <c r="T59" s="25">
        <f t="shared" si="66"/>
        <v>-42.588760000000001</v>
      </c>
      <c r="U59" s="26">
        <f t="shared" si="67"/>
        <v>2.1133199999999999</v>
      </c>
      <c r="V59" s="27">
        <f t="shared" si="68"/>
        <v>0</v>
      </c>
      <c r="W59" s="28">
        <f t="shared" si="69"/>
        <v>0</v>
      </c>
      <c r="X59" s="28">
        <f t="shared" si="70"/>
        <v>0</v>
      </c>
      <c r="Y59" s="55">
        <f t="shared" si="71"/>
        <v>0</v>
      </c>
      <c r="Z59" s="291">
        <f t="shared" si="72"/>
        <v>0</v>
      </c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1:37" ht="14.25" customHeight="1" x14ac:dyDescent="0.25">
      <c r="A60" s="59" t="s">
        <v>52</v>
      </c>
      <c r="B60" s="73">
        <v>111960.36906</v>
      </c>
      <c r="C60" s="48">
        <v>123174.48273999999</v>
      </c>
      <c r="D60" s="74">
        <v>157640</v>
      </c>
      <c r="E60" s="47">
        <v>164216</v>
      </c>
      <c r="F60" s="47">
        <v>171656</v>
      </c>
      <c r="G60" s="318">
        <v>179705</v>
      </c>
      <c r="H60" s="316">
        <v>187621</v>
      </c>
      <c r="I60" s="278"/>
      <c r="J60" s="59" t="s">
        <v>52</v>
      </c>
      <c r="K60" s="25"/>
      <c r="L60" s="26"/>
      <c r="M60" s="27"/>
      <c r="N60" s="28"/>
      <c r="O60" s="28"/>
      <c r="P60" s="55"/>
      <c r="Q60" s="291"/>
      <c r="S60" s="59" t="s">
        <v>52</v>
      </c>
      <c r="T60" s="25">
        <f t="shared" si="66"/>
        <v>111960.36906</v>
      </c>
      <c r="U60" s="26">
        <f t="shared" si="67"/>
        <v>123174.48273999999</v>
      </c>
      <c r="V60" s="27">
        <f t="shared" si="68"/>
        <v>157640</v>
      </c>
      <c r="W60" s="28">
        <f t="shared" si="69"/>
        <v>164216</v>
      </c>
      <c r="X60" s="28">
        <f t="shared" si="70"/>
        <v>171656</v>
      </c>
      <c r="Y60" s="55">
        <f t="shared" si="71"/>
        <v>179705</v>
      </c>
      <c r="Z60" s="291">
        <f t="shared" si="72"/>
        <v>187621</v>
      </c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1:37" ht="14.25" customHeight="1" thickBot="1" x14ac:dyDescent="0.3">
      <c r="A61" s="60" t="s">
        <v>53</v>
      </c>
      <c r="B61" s="364">
        <v>39251.162120000001</v>
      </c>
      <c r="C61" s="365">
        <v>44734.436399999999</v>
      </c>
      <c r="D61" s="366">
        <v>56651</v>
      </c>
      <c r="E61" s="367">
        <v>60839</v>
      </c>
      <c r="F61" s="367">
        <v>63896</v>
      </c>
      <c r="G61" s="368">
        <v>67549</v>
      </c>
      <c r="H61" s="369">
        <v>71223</v>
      </c>
      <c r="I61" s="278"/>
      <c r="J61" s="60" t="s">
        <v>53</v>
      </c>
      <c r="K61" s="61"/>
      <c r="L61" s="62"/>
      <c r="M61" s="63"/>
      <c r="N61" s="64"/>
      <c r="O61" s="64"/>
      <c r="P61" s="284"/>
      <c r="Q61" s="294"/>
      <c r="S61" s="60" t="s">
        <v>53</v>
      </c>
      <c r="T61" s="61">
        <f t="shared" si="66"/>
        <v>39251.162120000001</v>
      </c>
      <c r="U61" s="62">
        <f t="shared" si="67"/>
        <v>44734.436399999999</v>
      </c>
      <c r="V61" s="63">
        <f t="shared" si="68"/>
        <v>56651</v>
      </c>
      <c r="W61" s="64">
        <f t="shared" si="69"/>
        <v>60839</v>
      </c>
      <c r="X61" s="64">
        <f t="shared" si="70"/>
        <v>63896</v>
      </c>
      <c r="Y61" s="284">
        <f t="shared" si="71"/>
        <v>67549</v>
      </c>
      <c r="Z61" s="294">
        <f t="shared" si="72"/>
        <v>71223</v>
      </c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pans="1:37" ht="13.5" customHeight="1" x14ac:dyDescent="0.25">
      <c r="A62" s="16" t="s">
        <v>54</v>
      </c>
      <c r="B62" s="370">
        <f t="shared" ref="B62:H62" si="89">B63+B67</f>
        <v>17303235.117621232</v>
      </c>
      <c r="C62" s="371">
        <f t="shared" si="89"/>
        <v>18380948.544736899</v>
      </c>
      <c r="D62" s="372">
        <f t="shared" si="89"/>
        <v>19882940</v>
      </c>
      <c r="E62" s="373">
        <f t="shared" si="89"/>
        <v>20789821</v>
      </c>
      <c r="F62" s="373">
        <f t="shared" si="89"/>
        <v>21250925</v>
      </c>
      <c r="G62" s="374">
        <f t="shared" si="89"/>
        <v>22184157</v>
      </c>
      <c r="H62" s="375">
        <f t="shared" si="89"/>
        <v>23081370</v>
      </c>
      <c r="I62" s="278"/>
      <c r="J62" s="16" t="s">
        <v>54</v>
      </c>
      <c r="K62" s="68">
        <f t="shared" ref="K62:P62" si="90">K63+K67</f>
        <v>0</v>
      </c>
      <c r="L62" s="66">
        <f t="shared" si="90"/>
        <v>0</v>
      </c>
      <c r="M62" s="69">
        <f t="shared" si="90"/>
        <v>-22284.940999999999</v>
      </c>
      <c r="N62" s="70">
        <f t="shared" si="90"/>
        <v>-63688.926353934818</v>
      </c>
      <c r="O62" s="70">
        <f t="shared" si="90"/>
        <v>-66042.315942333182</v>
      </c>
      <c r="P62" s="308">
        <f t="shared" si="90"/>
        <v>-67915.168494777099</v>
      </c>
      <c r="Q62" s="303">
        <f t="shared" ref="Q62" si="91">Q63+Q67</f>
        <v>-70144.052092284299</v>
      </c>
      <c r="S62" s="16" t="s">
        <v>54</v>
      </c>
      <c r="T62" s="68">
        <f t="shared" ref="T62:Y62" si="92">T63+T67</f>
        <v>17303235.117621232</v>
      </c>
      <c r="U62" s="66">
        <f t="shared" si="92"/>
        <v>18380948.544736899</v>
      </c>
      <c r="V62" s="69">
        <f t="shared" si="92"/>
        <v>19905224.941</v>
      </c>
      <c r="W62" s="70">
        <f t="shared" si="92"/>
        <v>20853509.926353935</v>
      </c>
      <c r="X62" s="70">
        <f t="shared" si="92"/>
        <v>21316967.315942332</v>
      </c>
      <c r="Y62" s="308">
        <f t="shared" si="92"/>
        <v>22252072.168494776</v>
      </c>
      <c r="Z62" s="303">
        <f t="shared" ref="Z62" si="93">Z63+Z67</f>
        <v>23151514.052092284</v>
      </c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</row>
    <row r="63" spans="1:37" ht="13.5" customHeight="1" x14ac:dyDescent="0.25">
      <c r="A63" s="72" t="s">
        <v>55</v>
      </c>
      <c r="B63" s="358">
        <f>B64</f>
        <v>11345254.749081191</v>
      </c>
      <c r="C63" s="359">
        <f t="shared" ref="C63:H63" si="94">C64</f>
        <v>12019675.024126982</v>
      </c>
      <c r="D63" s="360">
        <f t="shared" si="94"/>
        <v>12808631</v>
      </c>
      <c r="E63" s="361">
        <f t="shared" si="94"/>
        <v>13412232</v>
      </c>
      <c r="F63" s="361">
        <f t="shared" si="94"/>
        <v>14014042</v>
      </c>
      <c r="G63" s="362">
        <f t="shared" si="94"/>
        <v>14624884</v>
      </c>
      <c r="H63" s="363">
        <f t="shared" si="94"/>
        <v>15210904</v>
      </c>
      <c r="I63" s="278"/>
      <c r="J63" s="72" t="s">
        <v>55</v>
      </c>
      <c r="K63" s="42">
        <f t="shared" ref="K63:Q63" si="95">K64</f>
        <v>0</v>
      </c>
      <c r="L63" s="43">
        <f t="shared" si="95"/>
        <v>0</v>
      </c>
      <c r="M63" s="44">
        <f t="shared" si="95"/>
        <v>-22284.940999999999</v>
      </c>
      <c r="N63" s="45">
        <f t="shared" si="95"/>
        <v>-63688.926353934818</v>
      </c>
      <c r="O63" s="45">
        <f t="shared" si="95"/>
        <v>-66042.315942333182</v>
      </c>
      <c r="P63" s="282">
        <f t="shared" si="95"/>
        <v>-67915.168494777099</v>
      </c>
      <c r="Q63" s="292">
        <f t="shared" si="95"/>
        <v>-70144.052092284299</v>
      </c>
      <c r="S63" s="72" t="s">
        <v>55</v>
      </c>
      <c r="T63" s="42">
        <f t="shared" ref="T63:Z63" si="96">T64</f>
        <v>11345254.749081191</v>
      </c>
      <c r="U63" s="43">
        <f t="shared" si="96"/>
        <v>12019675.024126982</v>
      </c>
      <c r="V63" s="44">
        <f t="shared" si="96"/>
        <v>12830915.941</v>
      </c>
      <c r="W63" s="45">
        <f t="shared" si="96"/>
        <v>13475920.926353935</v>
      </c>
      <c r="X63" s="45">
        <f t="shared" si="96"/>
        <v>14080084.315942334</v>
      </c>
      <c r="Y63" s="282">
        <f t="shared" si="96"/>
        <v>14692799.168494778</v>
      </c>
      <c r="Z63" s="292">
        <f t="shared" si="96"/>
        <v>15281048.052092284</v>
      </c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</row>
    <row r="64" spans="1:37" ht="13.5" customHeight="1" x14ac:dyDescent="0.25">
      <c r="A64" s="29" t="s">
        <v>56</v>
      </c>
      <c r="B64" s="73">
        <f>+B65+B66</f>
        <v>11345254.749081191</v>
      </c>
      <c r="C64" s="48">
        <f>+C65+C66</f>
        <v>12019675.024126982</v>
      </c>
      <c r="D64" s="74">
        <f>+D65+D66</f>
        <v>12808631</v>
      </c>
      <c r="E64" s="47">
        <f t="shared" ref="E64:H64" si="97">+E65+E66</f>
        <v>13412232</v>
      </c>
      <c r="F64" s="47">
        <f t="shared" si="97"/>
        <v>14014042</v>
      </c>
      <c r="G64" s="318">
        <f t="shared" si="97"/>
        <v>14624884</v>
      </c>
      <c r="H64" s="316">
        <f t="shared" si="97"/>
        <v>15210904</v>
      </c>
      <c r="I64" s="278"/>
      <c r="J64" s="29" t="s">
        <v>56</v>
      </c>
      <c r="K64" s="25">
        <f t="shared" ref="K64:P64" si="98">+K65+K66</f>
        <v>0</v>
      </c>
      <c r="L64" s="26">
        <f t="shared" si="98"/>
        <v>0</v>
      </c>
      <c r="M64" s="27">
        <f t="shared" si="98"/>
        <v>-22284.940999999999</v>
      </c>
      <c r="N64" s="28">
        <f t="shared" si="98"/>
        <v>-63688.926353934818</v>
      </c>
      <c r="O64" s="28">
        <f t="shared" si="98"/>
        <v>-66042.315942333182</v>
      </c>
      <c r="P64" s="55">
        <f t="shared" si="98"/>
        <v>-67915.168494777099</v>
      </c>
      <c r="Q64" s="291">
        <f t="shared" ref="Q64" si="99">+Q65+Q66</f>
        <v>-70144.052092284299</v>
      </c>
      <c r="S64" s="29" t="s">
        <v>56</v>
      </c>
      <c r="T64" s="25">
        <f t="shared" ref="T64:Y64" si="100">T65+T66</f>
        <v>11345254.749081191</v>
      </c>
      <c r="U64" s="26">
        <f t="shared" si="100"/>
        <v>12019675.024126982</v>
      </c>
      <c r="V64" s="27">
        <f t="shared" si="100"/>
        <v>12830915.941</v>
      </c>
      <c r="W64" s="28">
        <f t="shared" si="100"/>
        <v>13475920.926353935</v>
      </c>
      <c r="X64" s="28">
        <f t="shared" si="100"/>
        <v>14080084.315942334</v>
      </c>
      <c r="Y64" s="55">
        <f t="shared" si="100"/>
        <v>14692799.168494778</v>
      </c>
      <c r="Z64" s="291">
        <f t="shared" ref="Z64" si="101">Z65+Z66</f>
        <v>15281048.052092284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</row>
    <row r="65" spans="1:37" ht="13.5" customHeight="1" x14ac:dyDescent="0.25">
      <c r="A65" s="29" t="s">
        <v>57</v>
      </c>
      <c r="B65" s="73">
        <v>10909899.678581191</v>
      </c>
      <c r="C65" s="48">
        <v>11832600.376406983</v>
      </c>
      <c r="D65" s="74">
        <v>12608996</v>
      </c>
      <c r="E65" s="47">
        <v>13214020</v>
      </c>
      <c r="F65" s="47">
        <v>13816740</v>
      </c>
      <c r="G65" s="318">
        <v>14428651</v>
      </c>
      <c r="H65" s="316">
        <v>15016090</v>
      </c>
      <c r="I65" s="278"/>
      <c r="J65" s="29" t="s">
        <v>57</v>
      </c>
      <c r="K65" s="25"/>
      <c r="L65" s="26"/>
      <c r="M65" s="27">
        <v>-22284.940999999999</v>
      </c>
      <c r="N65" s="47">
        <v>-63688.926353934818</v>
      </c>
      <c r="O65" s="47">
        <v>-66042.315942333182</v>
      </c>
      <c r="P65" s="318">
        <v>-67915.168494777099</v>
      </c>
      <c r="Q65" s="316">
        <v>-70144.052092284299</v>
      </c>
      <c r="S65" s="29" t="s">
        <v>57</v>
      </c>
      <c r="T65" s="25">
        <f t="shared" ref="T65:Z66" si="102">+B65-K65</f>
        <v>10909899.678581191</v>
      </c>
      <c r="U65" s="26">
        <f t="shared" si="102"/>
        <v>11832600.376406983</v>
      </c>
      <c r="V65" s="27">
        <f t="shared" si="102"/>
        <v>12631280.941</v>
      </c>
      <c r="W65" s="28">
        <f t="shared" si="102"/>
        <v>13277708.926353935</v>
      </c>
      <c r="X65" s="28">
        <f t="shared" si="102"/>
        <v>13882782.315942334</v>
      </c>
      <c r="Y65" s="55">
        <f t="shared" si="102"/>
        <v>14496566.168494778</v>
      </c>
      <c r="Z65" s="291">
        <f t="shared" si="102"/>
        <v>15086234.052092284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</row>
    <row r="66" spans="1:37" ht="13.5" customHeight="1" x14ac:dyDescent="0.25">
      <c r="A66" s="29" t="s">
        <v>58</v>
      </c>
      <c r="B66" s="73">
        <v>435355.07050000003</v>
      </c>
      <c r="C66" s="48">
        <v>187074.64772000004</v>
      </c>
      <c r="D66" s="74">
        <v>199635</v>
      </c>
      <c r="E66" s="47">
        <v>198212</v>
      </c>
      <c r="F66" s="47">
        <v>197302</v>
      </c>
      <c r="G66" s="318">
        <v>196233</v>
      </c>
      <c r="H66" s="316">
        <v>194814</v>
      </c>
      <c r="I66" s="278"/>
      <c r="J66" s="29" t="s">
        <v>58</v>
      </c>
      <c r="K66" s="73"/>
      <c r="L66" s="48"/>
      <c r="M66" s="74"/>
      <c r="N66" s="47"/>
      <c r="O66" s="47"/>
      <c r="P66" s="318"/>
      <c r="Q66" s="316"/>
      <c r="S66" s="29" t="s">
        <v>58</v>
      </c>
      <c r="T66" s="25">
        <f t="shared" si="102"/>
        <v>435355.07050000003</v>
      </c>
      <c r="U66" s="26">
        <f t="shared" si="102"/>
        <v>187074.64772000004</v>
      </c>
      <c r="V66" s="27">
        <f t="shared" si="102"/>
        <v>199635</v>
      </c>
      <c r="W66" s="28">
        <f t="shared" si="102"/>
        <v>198212</v>
      </c>
      <c r="X66" s="28">
        <f t="shared" si="102"/>
        <v>197302</v>
      </c>
      <c r="Y66" s="55">
        <f t="shared" si="102"/>
        <v>196233</v>
      </c>
      <c r="Z66" s="291">
        <f t="shared" si="102"/>
        <v>194814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1:37" ht="13.5" customHeight="1" x14ac:dyDescent="0.25">
      <c r="A67" s="72" t="s">
        <v>59</v>
      </c>
      <c r="B67" s="358">
        <f>B68</f>
        <v>5957980.3685400402</v>
      </c>
      <c r="C67" s="359">
        <f t="shared" ref="C67:H67" si="103">C68</f>
        <v>6361273.5206099162</v>
      </c>
      <c r="D67" s="360">
        <f>D68</f>
        <v>7074309</v>
      </c>
      <c r="E67" s="361">
        <f t="shared" si="103"/>
        <v>7377589</v>
      </c>
      <c r="F67" s="361">
        <f t="shared" si="103"/>
        <v>7236883</v>
      </c>
      <c r="G67" s="362">
        <f t="shared" si="103"/>
        <v>7559273</v>
      </c>
      <c r="H67" s="363">
        <f t="shared" si="103"/>
        <v>7870466</v>
      </c>
      <c r="I67" s="278"/>
      <c r="J67" s="72" t="s">
        <v>59</v>
      </c>
      <c r="K67" s="42">
        <f t="shared" ref="K67:Q67" si="104">K68</f>
        <v>0</v>
      </c>
      <c r="L67" s="43">
        <f t="shared" si="104"/>
        <v>0</v>
      </c>
      <c r="M67" s="44">
        <f t="shared" si="104"/>
        <v>0</v>
      </c>
      <c r="N67" s="45">
        <f t="shared" si="104"/>
        <v>0</v>
      </c>
      <c r="O67" s="45">
        <f t="shared" si="104"/>
        <v>0</v>
      </c>
      <c r="P67" s="282">
        <f t="shared" si="104"/>
        <v>0</v>
      </c>
      <c r="Q67" s="292">
        <f t="shared" si="104"/>
        <v>0</v>
      </c>
      <c r="S67" s="72" t="s">
        <v>59</v>
      </c>
      <c r="T67" s="42">
        <f t="shared" ref="T67:Z67" si="105">T68</f>
        <v>5957980.3685400402</v>
      </c>
      <c r="U67" s="43">
        <f t="shared" si="105"/>
        <v>6361273.5206099162</v>
      </c>
      <c r="V67" s="44">
        <f t="shared" si="105"/>
        <v>7074309</v>
      </c>
      <c r="W67" s="45">
        <f t="shared" si="105"/>
        <v>7377589</v>
      </c>
      <c r="X67" s="45">
        <f t="shared" si="105"/>
        <v>7236883</v>
      </c>
      <c r="Y67" s="282">
        <f t="shared" si="105"/>
        <v>7559273</v>
      </c>
      <c r="Z67" s="292">
        <f t="shared" si="105"/>
        <v>7870466</v>
      </c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1:37" ht="13.5" customHeight="1" x14ac:dyDescent="0.25">
      <c r="A68" s="29" t="s">
        <v>56</v>
      </c>
      <c r="B68" s="73">
        <v>5957980.3685400402</v>
      </c>
      <c r="C68" s="48">
        <v>6361273.5206099162</v>
      </c>
      <c r="D68" s="74">
        <v>7074309</v>
      </c>
      <c r="E68" s="47">
        <v>7377589</v>
      </c>
      <c r="F68" s="47">
        <v>7236883</v>
      </c>
      <c r="G68" s="318">
        <v>7559273</v>
      </c>
      <c r="H68" s="316">
        <v>7870466</v>
      </c>
      <c r="I68" s="278"/>
      <c r="J68" s="29" t="s">
        <v>56</v>
      </c>
      <c r="K68" s="73"/>
      <c r="L68" s="48"/>
      <c r="M68" s="74"/>
      <c r="N68" s="47"/>
      <c r="O68" s="47"/>
      <c r="P68" s="318"/>
      <c r="Q68" s="316"/>
      <c r="S68" s="29" t="s">
        <v>56</v>
      </c>
      <c r="T68" s="25">
        <f t="shared" ref="T68:Z69" si="106">+B68-K68</f>
        <v>5957980.3685400402</v>
      </c>
      <c r="U68" s="26">
        <f t="shared" si="106"/>
        <v>6361273.5206099162</v>
      </c>
      <c r="V68" s="27">
        <f t="shared" si="106"/>
        <v>7074309</v>
      </c>
      <c r="W68" s="28">
        <f t="shared" si="106"/>
        <v>7377589</v>
      </c>
      <c r="X68" s="28">
        <f t="shared" si="106"/>
        <v>7236883</v>
      </c>
      <c r="Y68" s="55">
        <f t="shared" si="106"/>
        <v>7559273</v>
      </c>
      <c r="Z68" s="291">
        <f t="shared" si="106"/>
        <v>7870466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1:37" ht="14.25" customHeight="1" thickBot="1" x14ac:dyDescent="0.3">
      <c r="A69" s="76" t="s">
        <v>60</v>
      </c>
      <c r="B69" s="77">
        <v>49422.81577999999</v>
      </c>
      <c r="C69" s="48">
        <v>53366.506480000018</v>
      </c>
      <c r="D69" s="356">
        <v>55618</v>
      </c>
      <c r="E69" s="357">
        <v>56583</v>
      </c>
      <c r="F69" s="357">
        <v>57245</v>
      </c>
      <c r="G69" s="376">
        <v>57699</v>
      </c>
      <c r="H69" s="377">
        <v>57923</v>
      </c>
      <c r="I69" s="278"/>
      <c r="J69" s="76" t="s">
        <v>60</v>
      </c>
      <c r="K69" s="77"/>
      <c r="L69" s="48"/>
      <c r="M69" s="74"/>
      <c r="N69" s="47"/>
      <c r="O69" s="47"/>
      <c r="P69" s="318"/>
      <c r="Q69" s="316"/>
      <c r="S69" s="76" t="s">
        <v>60</v>
      </c>
      <c r="T69" s="38">
        <f t="shared" si="106"/>
        <v>49422.81577999999</v>
      </c>
      <c r="U69" s="26">
        <f t="shared" si="106"/>
        <v>53366.506480000018</v>
      </c>
      <c r="V69" s="39">
        <f t="shared" si="106"/>
        <v>55618</v>
      </c>
      <c r="W69" s="40">
        <f t="shared" si="106"/>
        <v>56583</v>
      </c>
      <c r="X69" s="40">
        <f t="shared" si="106"/>
        <v>57245</v>
      </c>
      <c r="Y69" s="283">
        <f t="shared" si="106"/>
        <v>57699</v>
      </c>
      <c r="Z69" s="293">
        <f t="shared" si="106"/>
        <v>57923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1:37" ht="14.25" customHeight="1" thickBot="1" x14ac:dyDescent="0.3">
      <c r="A70" s="78" t="s">
        <v>61</v>
      </c>
      <c r="B70" s="378">
        <f t="shared" ref="B70:H70" si="107">B38+B35+B30+B18+B5</f>
        <v>24522808.381853331</v>
      </c>
      <c r="C70" s="379">
        <f t="shared" si="107"/>
        <v>26029640.555124596</v>
      </c>
      <c r="D70" s="380">
        <f t="shared" si="107"/>
        <v>27528605</v>
      </c>
      <c r="E70" s="381">
        <f t="shared" si="107"/>
        <v>28215865</v>
      </c>
      <c r="F70" s="381">
        <f t="shared" si="107"/>
        <v>29344638</v>
      </c>
      <c r="G70" s="382">
        <f t="shared" si="107"/>
        <v>30579532</v>
      </c>
      <c r="H70" s="383">
        <f t="shared" si="107"/>
        <v>31826734</v>
      </c>
      <c r="I70" s="278"/>
      <c r="J70" s="78" t="s">
        <v>61</v>
      </c>
      <c r="K70" s="79">
        <f t="shared" ref="K70:Q70" si="108">+K5+K18+K30+K35+K38</f>
        <v>0</v>
      </c>
      <c r="L70" s="80">
        <f t="shared" si="108"/>
        <v>0</v>
      </c>
      <c r="M70" s="81">
        <f t="shared" si="108"/>
        <v>146.39800000000002</v>
      </c>
      <c r="N70" s="82">
        <f t="shared" si="108"/>
        <v>-642.69813193895016</v>
      </c>
      <c r="O70" s="82">
        <f t="shared" si="108"/>
        <v>-596.37944350323005</v>
      </c>
      <c r="P70" s="238">
        <f t="shared" si="108"/>
        <v>-584.36047359225995</v>
      </c>
      <c r="Q70" s="304">
        <f t="shared" si="108"/>
        <v>-571.41578528107993</v>
      </c>
      <c r="S70" s="78" t="s">
        <v>61</v>
      </c>
      <c r="T70" s="79">
        <f t="shared" ref="T70:Z70" si="109">+T38+T35+T30+T18+T5</f>
        <v>24522808.381853331</v>
      </c>
      <c r="U70" s="80">
        <f t="shared" si="109"/>
        <v>26029640.555124596</v>
      </c>
      <c r="V70" s="81">
        <f t="shared" si="109"/>
        <v>27528458.601999998</v>
      </c>
      <c r="W70" s="82">
        <f t="shared" si="109"/>
        <v>28216507.698131938</v>
      </c>
      <c r="X70" s="82">
        <f t="shared" si="109"/>
        <v>29345234.379443504</v>
      </c>
      <c r="Y70" s="238">
        <f t="shared" si="109"/>
        <v>30580116.360473592</v>
      </c>
      <c r="Z70" s="304">
        <f t="shared" si="109"/>
        <v>31827305.415785283</v>
      </c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1:37" ht="13.5" customHeight="1" x14ac:dyDescent="0.25">
      <c r="A71" s="83" t="s">
        <v>62</v>
      </c>
      <c r="B71" s="384">
        <f>B9+B13+B17+B19+B20+B30+B47+B52+B54+B40+B39+B43+B44+B51+B42+B16</f>
        <v>19689148.51199333</v>
      </c>
      <c r="C71" s="157">
        <f>C9+C13+C17+C19+C20+C30+C47+C52+C54+C40+C39+C43+C44+C51+C42+C16</f>
        <v>21497903.540464599</v>
      </c>
      <c r="D71" s="385">
        <f>D9+D13+D17+D19+D20+D30+D47+D52+D54+D40+D39+D43+D44+D51+D42+D16+D49-332</f>
        <v>22615841</v>
      </c>
      <c r="E71" s="156">
        <f t="shared" ref="E71:H71" si="110">E9+E13+E17+E19+E20+E30+E47+E52+E54+E40+E39+E43+E44+E51+E42+E16+E49</f>
        <v>23092544</v>
      </c>
      <c r="F71" s="156">
        <f t="shared" si="110"/>
        <v>24008204</v>
      </c>
      <c r="G71" s="319">
        <f t="shared" si="110"/>
        <v>24981180</v>
      </c>
      <c r="H71" s="317">
        <f t="shared" si="110"/>
        <v>25964473</v>
      </c>
      <c r="I71" s="278"/>
      <c r="J71" s="83" t="s">
        <v>62</v>
      </c>
      <c r="K71" s="384">
        <f>K9+K13+K17+K19+K20+K30+K47+K52+K54+K40+K39+K43+K44+K51+K42+K16</f>
        <v>0</v>
      </c>
      <c r="L71" s="157">
        <f>L9+L13+L17+L19+L20+L30+L47+L52+L54+L40+L39+L43+L44+L51+L42+L16</f>
        <v>0</v>
      </c>
      <c r="M71" s="385">
        <f>M9+M13+M17+M19+M20+M30+M47+M52+M54+M40+M39+M43+M44+M51+M42+M16+M49</f>
        <v>146.39800000000002</v>
      </c>
      <c r="N71" s="156">
        <f t="shared" ref="N71:Q71" si="111">N9+N13+N17+N19+N20+N30+N47+N52+N54+N40+N39+N43+N44+N51+N42+N16+N49</f>
        <v>-1696.0788999389501</v>
      </c>
      <c r="O71" s="156">
        <f t="shared" si="111"/>
        <v>-2538.6027235032302</v>
      </c>
      <c r="P71" s="319">
        <f t="shared" si="111"/>
        <v>-2588.2602335922602</v>
      </c>
      <c r="Q71" s="317">
        <f t="shared" si="111"/>
        <v>-2621.4084572810798</v>
      </c>
      <c r="S71" s="83" t="s">
        <v>62</v>
      </c>
      <c r="T71" s="384">
        <f>T9+T13+T17+T19+T20+T30+T47+T52+T54+T40+T39+T43+T44+T51+T42+T16</f>
        <v>19689148.51199333</v>
      </c>
      <c r="U71" s="157">
        <f>U9+U13+U17+U19+U20+U30+U47+U52+U54+U40+U39+U43+U44+U51+U42+U16</f>
        <v>21497903.540464599</v>
      </c>
      <c r="V71" s="385">
        <f>V9+V13+V17+V19+V20+V30+V47+V52+V54+V40+V39+V43+V44+V51+V42+V16+V49-332</f>
        <v>22615694.601999998</v>
      </c>
      <c r="W71" s="156">
        <f t="shared" ref="W71:Z71" si="112">W9+W13+W17+W19+W20+W30+W47+W52+W54+W40+W39+W43+W44+W51+W42+W16+W49</f>
        <v>23094240.078899939</v>
      </c>
      <c r="X71" s="156">
        <f t="shared" si="112"/>
        <v>24010742.602723502</v>
      </c>
      <c r="Y71" s="319">
        <f t="shared" si="112"/>
        <v>24983768.260233592</v>
      </c>
      <c r="Z71" s="317">
        <f t="shared" si="112"/>
        <v>25967094.408457279</v>
      </c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1:37" ht="13.5" customHeight="1" x14ac:dyDescent="0.25">
      <c r="A72" s="83" t="s">
        <v>63</v>
      </c>
      <c r="B72" s="384">
        <f>+B61</f>
        <v>39251.162120000001</v>
      </c>
      <c r="C72" s="157">
        <f t="shared" ref="C72:H72" si="113">0+C57</f>
        <v>44734.436399999999</v>
      </c>
      <c r="D72" s="385">
        <f t="shared" si="113"/>
        <v>56651</v>
      </c>
      <c r="E72" s="156">
        <f t="shared" si="113"/>
        <v>60839</v>
      </c>
      <c r="F72" s="156">
        <f t="shared" si="113"/>
        <v>63896</v>
      </c>
      <c r="G72" s="319">
        <f t="shared" si="113"/>
        <v>67549</v>
      </c>
      <c r="H72" s="317">
        <f t="shared" si="113"/>
        <v>71223</v>
      </c>
      <c r="I72" s="278"/>
      <c r="J72" s="83" t="s">
        <v>63</v>
      </c>
      <c r="K72" s="384">
        <f>+K61</f>
        <v>0</v>
      </c>
      <c r="L72" s="157">
        <f t="shared" ref="L72:Q72" si="114">0+L57</f>
        <v>0</v>
      </c>
      <c r="M72" s="385">
        <f t="shared" si="114"/>
        <v>0</v>
      </c>
      <c r="N72" s="156">
        <f t="shared" si="114"/>
        <v>0</v>
      </c>
      <c r="O72" s="156">
        <f t="shared" si="114"/>
        <v>0</v>
      </c>
      <c r="P72" s="319">
        <f t="shared" si="114"/>
        <v>0</v>
      </c>
      <c r="Q72" s="317">
        <f t="shared" si="114"/>
        <v>0</v>
      </c>
      <c r="S72" s="83" t="s">
        <v>63</v>
      </c>
      <c r="T72" s="384">
        <f>+T61</f>
        <v>39251.162120000001</v>
      </c>
      <c r="U72" s="157">
        <f t="shared" ref="U72:Z72" si="115">0+U57</f>
        <v>44734.436399999999</v>
      </c>
      <c r="V72" s="385">
        <f t="shared" si="115"/>
        <v>56651</v>
      </c>
      <c r="W72" s="156">
        <f t="shared" si="115"/>
        <v>60839</v>
      </c>
      <c r="X72" s="156">
        <f t="shared" si="115"/>
        <v>63896</v>
      </c>
      <c r="Y72" s="319">
        <f t="shared" si="115"/>
        <v>67549</v>
      </c>
      <c r="Z72" s="317">
        <f t="shared" si="115"/>
        <v>71223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1:37" ht="13.5" customHeight="1" x14ac:dyDescent="0.25">
      <c r="A73" s="24" t="s">
        <v>64</v>
      </c>
      <c r="B73" s="384">
        <v>0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78"/>
      <c r="J73" s="24" t="s">
        <v>64</v>
      </c>
      <c r="K73" s="384">
        <f>K42</f>
        <v>0</v>
      </c>
      <c r="L73" s="157">
        <v>0</v>
      </c>
      <c r="M73" s="385">
        <v>0</v>
      </c>
      <c r="N73" s="156">
        <v>0</v>
      </c>
      <c r="O73" s="156">
        <v>0</v>
      </c>
      <c r="P73" s="319">
        <v>0</v>
      </c>
      <c r="Q73" s="317">
        <v>0</v>
      </c>
      <c r="S73" s="24" t="s">
        <v>64</v>
      </c>
      <c r="T73" s="384">
        <v>0</v>
      </c>
      <c r="U73" s="157">
        <v>0</v>
      </c>
      <c r="V73" s="385">
        <v>0</v>
      </c>
      <c r="W73" s="156">
        <v>0</v>
      </c>
      <c r="X73" s="156">
        <v>0</v>
      </c>
      <c r="Y73" s="319">
        <v>0</v>
      </c>
      <c r="Z73" s="317">
        <v>0</v>
      </c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1:37" ht="13.5" customHeight="1" x14ac:dyDescent="0.25">
      <c r="A74" s="24" t="s">
        <v>65</v>
      </c>
      <c r="B74" s="384">
        <f t="shared" ref="B74:C74" si="116">B10+B37+B36+B48+B55+B14</f>
        <v>3625698.0204000003</v>
      </c>
      <c r="C74" s="157">
        <f t="shared" si="116"/>
        <v>3261157.8391</v>
      </c>
      <c r="D74" s="385">
        <f t="shared" ref="D74:H74" si="117">D10+D37+D36+D48+D55+D14</f>
        <v>3508046</v>
      </c>
      <c r="E74" s="156">
        <f t="shared" si="117"/>
        <v>3632771</v>
      </c>
      <c r="F74" s="156">
        <f t="shared" si="117"/>
        <v>3772610</v>
      </c>
      <c r="G74" s="319">
        <f t="shared" si="117"/>
        <v>3945585</v>
      </c>
      <c r="H74" s="317">
        <f t="shared" si="117"/>
        <v>4119625</v>
      </c>
      <c r="I74" s="278"/>
      <c r="J74" s="24" t="s">
        <v>65</v>
      </c>
      <c r="K74" s="384">
        <f t="shared" ref="K74:Q74" si="118">K10+K37+K36+K48+K55+K14</f>
        <v>0</v>
      </c>
      <c r="L74" s="157">
        <f t="shared" si="118"/>
        <v>0</v>
      </c>
      <c r="M74" s="385">
        <f t="shared" si="118"/>
        <v>0</v>
      </c>
      <c r="N74" s="156">
        <f t="shared" si="118"/>
        <v>682.44093999999996</v>
      </c>
      <c r="O74" s="156">
        <f t="shared" si="118"/>
        <v>1259.3386500000001</v>
      </c>
      <c r="P74" s="319">
        <f t="shared" si="118"/>
        <v>1299.2020500000001</v>
      </c>
      <c r="Q74" s="317">
        <f t="shared" si="118"/>
        <v>1329.2942600000001</v>
      </c>
      <c r="S74" s="24" t="s">
        <v>65</v>
      </c>
      <c r="T74" s="384">
        <f t="shared" ref="T74:Z74" si="119">T10+T37+T36+T48+T55+T14</f>
        <v>3625698.0204000003</v>
      </c>
      <c r="U74" s="157">
        <f t="shared" si="119"/>
        <v>3261157.8391</v>
      </c>
      <c r="V74" s="385">
        <f t="shared" si="119"/>
        <v>3508046</v>
      </c>
      <c r="W74" s="156">
        <f t="shared" si="119"/>
        <v>3632088.5590599999</v>
      </c>
      <c r="X74" s="156">
        <f t="shared" si="119"/>
        <v>3771350.6613500002</v>
      </c>
      <c r="Y74" s="319">
        <f t="shared" si="119"/>
        <v>3944285.79795</v>
      </c>
      <c r="Z74" s="317">
        <f t="shared" si="119"/>
        <v>4118295.7057400001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1:37" ht="13.5" customHeight="1" x14ac:dyDescent="0.25">
      <c r="A75" s="24" t="s">
        <v>66</v>
      </c>
      <c r="B75" s="384">
        <f t="shared" ref="B75:C75" si="120">B11+B56+B15</f>
        <v>1135545.6246100003</v>
      </c>
      <c r="C75" s="157">
        <f t="shared" si="120"/>
        <v>1196373.6997199999</v>
      </c>
      <c r="D75" s="385">
        <f t="shared" ref="D75:H75" si="121">D11+D56+D15</f>
        <v>1319164</v>
      </c>
      <c r="E75" s="156">
        <f t="shared" si="121"/>
        <v>1412113</v>
      </c>
      <c r="F75" s="156">
        <f t="shared" si="121"/>
        <v>1481873</v>
      </c>
      <c r="G75" s="319">
        <f t="shared" si="121"/>
        <v>1566501</v>
      </c>
      <c r="H75" s="317">
        <f t="shared" si="121"/>
        <v>1652096</v>
      </c>
      <c r="I75" s="278"/>
      <c r="J75" s="24" t="s">
        <v>66</v>
      </c>
      <c r="K75" s="384">
        <f t="shared" ref="K75:Q75" si="122">K11+K56+K15</f>
        <v>0</v>
      </c>
      <c r="L75" s="157">
        <f t="shared" si="122"/>
        <v>0</v>
      </c>
      <c r="M75" s="385">
        <f t="shared" si="122"/>
        <v>0</v>
      </c>
      <c r="N75" s="156">
        <f t="shared" si="122"/>
        <v>370.93982799999998</v>
      </c>
      <c r="O75" s="156">
        <f t="shared" si="122"/>
        <v>682.8846299999999</v>
      </c>
      <c r="P75" s="319">
        <f t="shared" si="122"/>
        <v>704.69770999999992</v>
      </c>
      <c r="Q75" s="317">
        <f t="shared" si="122"/>
        <v>720.69841199999996</v>
      </c>
      <c r="S75" s="24" t="s">
        <v>66</v>
      </c>
      <c r="T75" s="384">
        <f t="shared" ref="T75:Z75" si="123">T11+T56+T15</f>
        <v>1135545.6246100003</v>
      </c>
      <c r="U75" s="157">
        <f t="shared" si="123"/>
        <v>1196373.6997199999</v>
      </c>
      <c r="V75" s="385">
        <f t="shared" si="123"/>
        <v>1319164</v>
      </c>
      <c r="W75" s="156">
        <f t="shared" si="123"/>
        <v>1411742.060172</v>
      </c>
      <c r="X75" s="156">
        <f t="shared" si="123"/>
        <v>1481190.11537</v>
      </c>
      <c r="Y75" s="319">
        <f t="shared" si="123"/>
        <v>1565796.30229</v>
      </c>
      <c r="Z75" s="317">
        <f t="shared" si="123"/>
        <v>1651375.301588</v>
      </c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1:37" ht="13.5" customHeight="1" x14ac:dyDescent="0.25">
      <c r="A76" s="24" t="s">
        <v>67</v>
      </c>
      <c r="B76" s="384">
        <f t="shared" ref="B76:H76" si="124">B45</f>
        <v>2117.90022</v>
      </c>
      <c r="C76" s="157">
        <f t="shared" si="124"/>
        <v>1242.38833</v>
      </c>
      <c r="D76" s="385">
        <f t="shared" si="124"/>
        <v>400</v>
      </c>
      <c r="E76" s="156">
        <f t="shared" si="124"/>
        <v>0</v>
      </c>
      <c r="F76" s="156">
        <f t="shared" si="124"/>
        <v>0</v>
      </c>
      <c r="G76" s="319">
        <f t="shared" si="124"/>
        <v>0</v>
      </c>
      <c r="H76" s="317">
        <f t="shared" si="124"/>
        <v>0</v>
      </c>
      <c r="I76" s="278"/>
      <c r="J76" s="24" t="s">
        <v>67</v>
      </c>
      <c r="K76" s="384">
        <f t="shared" ref="K76:Q76" si="125">K45</f>
        <v>0</v>
      </c>
      <c r="L76" s="157">
        <f t="shared" si="125"/>
        <v>0</v>
      </c>
      <c r="M76" s="385">
        <f t="shared" si="125"/>
        <v>0</v>
      </c>
      <c r="N76" s="156">
        <f t="shared" si="125"/>
        <v>0</v>
      </c>
      <c r="O76" s="156">
        <f t="shared" si="125"/>
        <v>0</v>
      </c>
      <c r="P76" s="319">
        <f t="shared" si="125"/>
        <v>0</v>
      </c>
      <c r="Q76" s="317">
        <f t="shared" si="125"/>
        <v>0</v>
      </c>
      <c r="S76" s="24" t="s">
        <v>67</v>
      </c>
      <c r="T76" s="384">
        <f t="shared" ref="T76:Z76" si="126">T45</f>
        <v>2117.90022</v>
      </c>
      <c r="U76" s="157">
        <f t="shared" si="126"/>
        <v>1242.38833</v>
      </c>
      <c r="V76" s="385">
        <f t="shared" si="126"/>
        <v>400</v>
      </c>
      <c r="W76" s="156">
        <f t="shared" si="126"/>
        <v>0</v>
      </c>
      <c r="X76" s="156">
        <f t="shared" si="126"/>
        <v>0</v>
      </c>
      <c r="Y76" s="319">
        <f t="shared" si="126"/>
        <v>0</v>
      </c>
      <c r="Z76" s="317">
        <f t="shared" si="126"/>
        <v>0</v>
      </c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1:37" ht="13.5" customHeight="1" x14ac:dyDescent="0.25">
      <c r="A77" s="24" t="s">
        <v>68</v>
      </c>
      <c r="B77" s="384">
        <f t="shared" ref="B77:C77" si="127">B50+B49</f>
        <v>31047.162509999998</v>
      </c>
      <c r="C77" s="157">
        <f t="shared" si="127"/>
        <v>28228.651109999999</v>
      </c>
      <c r="D77" s="385">
        <f>D50+332</f>
        <v>28503</v>
      </c>
      <c r="E77" s="156">
        <f t="shared" ref="E77:H77" si="128">E50</f>
        <v>17598</v>
      </c>
      <c r="F77" s="156">
        <f t="shared" si="128"/>
        <v>18055</v>
      </c>
      <c r="G77" s="319">
        <f t="shared" si="128"/>
        <v>18717</v>
      </c>
      <c r="H77" s="317">
        <f t="shared" si="128"/>
        <v>19317</v>
      </c>
      <c r="I77" s="278"/>
      <c r="J77" s="24" t="s">
        <v>68</v>
      </c>
      <c r="K77" s="384">
        <f t="shared" ref="K77:L77" si="129">K50+K49</f>
        <v>0</v>
      </c>
      <c r="L77" s="157">
        <f t="shared" si="129"/>
        <v>0</v>
      </c>
      <c r="M77" s="385">
        <f>M50</f>
        <v>0</v>
      </c>
      <c r="N77" s="156">
        <f t="shared" ref="N77:Q77" si="130">N50</f>
        <v>0</v>
      </c>
      <c r="O77" s="156">
        <f t="shared" si="130"/>
        <v>0</v>
      </c>
      <c r="P77" s="319">
        <f t="shared" si="130"/>
        <v>0</v>
      </c>
      <c r="Q77" s="317">
        <f t="shared" si="130"/>
        <v>0</v>
      </c>
      <c r="S77" s="24" t="s">
        <v>68</v>
      </c>
      <c r="T77" s="384">
        <f t="shared" ref="T77:U77" si="131">T50+T49</f>
        <v>31047.162509999998</v>
      </c>
      <c r="U77" s="157">
        <f t="shared" si="131"/>
        <v>28228.651109999999</v>
      </c>
      <c r="V77" s="385">
        <f>V50+332</f>
        <v>28503</v>
      </c>
      <c r="W77" s="156">
        <f t="shared" ref="W77:Z77" si="132">W50</f>
        <v>17598</v>
      </c>
      <c r="X77" s="156">
        <f t="shared" si="132"/>
        <v>18055</v>
      </c>
      <c r="Y77" s="319">
        <f t="shared" si="132"/>
        <v>18717</v>
      </c>
      <c r="Z77" s="317">
        <f t="shared" si="132"/>
        <v>19317</v>
      </c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1:37" ht="14.25" customHeight="1" thickBot="1" x14ac:dyDescent="0.3">
      <c r="A78" s="86" t="s">
        <v>69</v>
      </c>
      <c r="B78" s="386">
        <f t="shared" ref="B78:G78" si="133">B62</f>
        <v>17303235.117621232</v>
      </c>
      <c r="C78" s="387">
        <f t="shared" si="133"/>
        <v>18380948.544736899</v>
      </c>
      <c r="D78" s="388">
        <f t="shared" si="133"/>
        <v>19882940</v>
      </c>
      <c r="E78" s="389">
        <f t="shared" si="133"/>
        <v>20789821</v>
      </c>
      <c r="F78" s="389">
        <f t="shared" si="133"/>
        <v>21250925</v>
      </c>
      <c r="G78" s="390">
        <f t="shared" si="133"/>
        <v>22184157</v>
      </c>
      <c r="H78" s="391">
        <f t="shared" ref="H78" si="134">H62</f>
        <v>23081370</v>
      </c>
      <c r="I78" s="278"/>
      <c r="J78" s="86" t="s">
        <v>69</v>
      </c>
      <c r="K78" s="386">
        <f t="shared" ref="K78:Q78" si="135">K62</f>
        <v>0</v>
      </c>
      <c r="L78" s="387">
        <f t="shared" si="135"/>
        <v>0</v>
      </c>
      <c r="M78" s="388">
        <f t="shared" si="135"/>
        <v>-22284.940999999999</v>
      </c>
      <c r="N78" s="389">
        <f t="shared" si="135"/>
        <v>-63688.926353934818</v>
      </c>
      <c r="O78" s="389">
        <f t="shared" si="135"/>
        <v>-66042.315942333182</v>
      </c>
      <c r="P78" s="390">
        <f t="shared" si="135"/>
        <v>-67915.168494777099</v>
      </c>
      <c r="Q78" s="391">
        <f t="shared" si="135"/>
        <v>-70144.052092284299</v>
      </c>
      <c r="S78" s="86" t="s">
        <v>69</v>
      </c>
      <c r="T78" s="386">
        <f t="shared" ref="T78:Z78" si="136">T62</f>
        <v>17303235.117621232</v>
      </c>
      <c r="U78" s="387">
        <f t="shared" si="136"/>
        <v>18380948.544736899</v>
      </c>
      <c r="V78" s="388">
        <f t="shared" si="136"/>
        <v>19905224.941</v>
      </c>
      <c r="W78" s="389">
        <f t="shared" si="136"/>
        <v>20853509.926353935</v>
      </c>
      <c r="X78" s="389">
        <f t="shared" si="136"/>
        <v>21316967.315942332</v>
      </c>
      <c r="Y78" s="390">
        <f t="shared" si="136"/>
        <v>22252072.168494776</v>
      </c>
      <c r="Z78" s="391">
        <f t="shared" si="136"/>
        <v>23151514.052092284</v>
      </c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1:37" ht="14.25" customHeight="1" thickBot="1" x14ac:dyDescent="0.3">
      <c r="A79" s="89" t="s">
        <v>70</v>
      </c>
      <c r="B79" s="378">
        <f t="shared" ref="B79:G79" si="137">B70+B78</f>
        <v>41826043.499474563</v>
      </c>
      <c r="C79" s="392">
        <f t="shared" si="137"/>
        <v>44410589.099861495</v>
      </c>
      <c r="D79" s="380">
        <f t="shared" si="137"/>
        <v>47411545</v>
      </c>
      <c r="E79" s="381">
        <f t="shared" si="137"/>
        <v>49005686</v>
      </c>
      <c r="F79" s="381">
        <f t="shared" si="137"/>
        <v>50595563</v>
      </c>
      <c r="G79" s="382">
        <f t="shared" si="137"/>
        <v>52763689</v>
      </c>
      <c r="H79" s="383">
        <f t="shared" ref="H79" si="138">H70+H78</f>
        <v>54908104</v>
      </c>
      <c r="I79" s="278"/>
      <c r="J79" s="89" t="s">
        <v>70</v>
      </c>
      <c r="K79" s="79">
        <f t="shared" ref="K79:P79" si="139">+K78+K70</f>
        <v>0</v>
      </c>
      <c r="L79" s="80">
        <f t="shared" si="139"/>
        <v>0</v>
      </c>
      <c r="M79" s="81">
        <f t="shared" si="139"/>
        <v>-22138.542999999998</v>
      </c>
      <c r="N79" s="82">
        <f t="shared" si="139"/>
        <v>-64331.62448587377</v>
      </c>
      <c r="O79" s="82">
        <f t="shared" si="139"/>
        <v>-66638.695385836414</v>
      </c>
      <c r="P79" s="238">
        <f t="shared" si="139"/>
        <v>-68499.528968369355</v>
      </c>
      <c r="Q79" s="304">
        <f t="shared" ref="Q79" si="140">+Q78+Q70</f>
        <v>-70715.467877565374</v>
      </c>
      <c r="S79" s="89" t="s">
        <v>70</v>
      </c>
      <c r="T79" s="79">
        <f t="shared" ref="T79:Y79" si="141">+T78+T70</f>
        <v>41826043.499474563</v>
      </c>
      <c r="U79" s="80">
        <f t="shared" si="141"/>
        <v>44410589.099861495</v>
      </c>
      <c r="V79" s="81">
        <f t="shared" si="141"/>
        <v>47433683.542999998</v>
      </c>
      <c r="W79" s="82">
        <f t="shared" si="141"/>
        <v>49070017.624485873</v>
      </c>
      <c r="X79" s="82">
        <f t="shared" si="141"/>
        <v>50662201.695385836</v>
      </c>
      <c r="Y79" s="238">
        <f t="shared" si="141"/>
        <v>52832188.528968364</v>
      </c>
      <c r="Z79" s="304">
        <f t="shared" ref="Z79" si="142">+Z78+Z70</f>
        <v>54978819.467877567</v>
      </c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1:37" s="91" customFormat="1" ht="13.5" customHeight="1" thickBot="1" x14ac:dyDescent="0.3">
      <c r="A80" s="92"/>
      <c r="B80" s="393"/>
      <c r="C80" s="393"/>
      <c r="D80" s="393"/>
      <c r="E80" s="393"/>
      <c r="F80" s="393"/>
      <c r="G80" s="393"/>
      <c r="H80" s="393"/>
      <c r="I80" s="46"/>
      <c r="J80" s="92"/>
      <c r="K80" s="93"/>
      <c r="L80" s="93"/>
      <c r="M80" s="221"/>
      <c r="N80" s="221"/>
      <c r="O80" s="221"/>
      <c r="P80" s="221"/>
      <c r="Q80" s="221"/>
      <c r="S80" s="92"/>
      <c r="T80" s="221"/>
      <c r="U80" s="221"/>
      <c r="V80" s="221"/>
      <c r="W80" s="221"/>
      <c r="X80" s="221"/>
      <c r="Y80" s="221"/>
      <c r="Z80" s="221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  <row r="81" spans="1:37" ht="14.25" customHeight="1" thickBot="1" x14ac:dyDescent="0.3">
      <c r="A81" s="95" t="s">
        <v>71</v>
      </c>
      <c r="B81" s="96">
        <f t="shared" ref="B81:G81" si="143">SUM(B82:B83)</f>
        <v>105253.26207</v>
      </c>
      <c r="C81" s="97">
        <f t="shared" si="143"/>
        <v>109772.81586</v>
      </c>
      <c r="D81" s="98">
        <f t="shared" si="143"/>
        <v>120676</v>
      </c>
      <c r="E81" s="99">
        <f t="shared" si="143"/>
        <v>128046</v>
      </c>
      <c r="F81" s="99">
        <f t="shared" si="143"/>
        <v>133402</v>
      </c>
      <c r="G81" s="197">
        <f t="shared" si="143"/>
        <v>141471</v>
      </c>
      <c r="H81" s="321">
        <f t="shared" ref="H81" si="144">SUM(H82:H83)</f>
        <v>148311</v>
      </c>
      <c r="J81" s="95" t="s">
        <v>71</v>
      </c>
      <c r="K81" s="96">
        <f t="shared" ref="K81:P81" si="145">+K82+K83</f>
        <v>0</v>
      </c>
      <c r="L81" s="98">
        <f t="shared" si="145"/>
        <v>0</v>
      </c>
      <c r="M81" s="99">
        <f t="shared" si="145"/>
        <v>0</v>
      </c>
      <c r="N81" s="99">
        <f t="shared" si="145"/>
        <v>0</v>
      </c>
      <c r="O81" s="99">
        <f t="shared" si="145"/>
        <v>0</v>
      </c>
      <c r="P81" s="197">
        <f t="shared" si="145"/>
        <v>0</v>
      </c>
      <c r="Q81" s="321">
        <f t="shared" ref="Q81" si="146">+Q82+Q83</f>
        <v>0</v>
      </c>
      <c r="S81" s="100" t="s">
        <v>71</v>
      </c>
      <c r="T81" s="101">
        <f t="shared" ref="T81:Z83" si="147">+B81-K81</f>
        <v>105253.26207</v>
      </c>
      <c r="U81" s="102">
        <f t="shared" si="147"/>
        <v>109772.81586</v>
      </c>
      <c r="V81" s="103">
        <f t="shared" si="147"/>
        <v>120676</v>
      </c>
      <c r="W81" s="103">
        <f t="shared" si="147"/>
        <v>128046</v>
      </c>
      <c r="X81" s="103">
        <f t="shared" si="147"/>
        <v>133402</v>
      </c>
      <c r="Y81" s="334">
        <f t="shared" si="147"/>
        <v>141471</v>
      </c>
      <c r="Z81" s="330">
        <f t="shared" si="147"/>
        <v>148311</v>
      </c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</row>
    <row r="82" spans="1:37" ht="13.5" customHeight="1" x14ac:dyDescent="0.25">
      <c r="A82" s="105" t="s">
        <v>72</v>
      </c>
      <c r="B82" s="106">
        <v>47704.866009999998</v>
      </c>
      <c r="C82" s="107">
        <v>49442.431380000002</v>
      </c>
      <c r="D82" s="108">
        <v>59863</v>
      </c>
      <c r="E82" s="109">
        <v>64879</v>
      </c>
      <c r="F82" s="109">
        <v>67842</v>
      </c>
      <c r="G82" s="324">
        <v>71742</v>
      </c>
      <c r="H82" s="322">
        <v>75522</v>
      </c>
      <c r="J82" s="105" t="s">
        <v>72</v>
      </c>
      <c r="K82" s="106"/>
      <c r="L82" s="109"/>
      <c r="M82" s="109"/>
      <c r="N82" s="109"/>
      <c r="O82" s="109"/>
      <c r="P82" s="324"/>
      <c r="Q82" s="322"/>
      <c r="S82" s="110" t="s">
        <v>72</v>
      </c>
      <c r="T82" s="49">
        <f t="shared" si="147"/>
        <v>47704.866009999998</v>
      </c>
      <c r="U82" s="37">
        <f t="shared" si="147"/>
        <v>49442.431380000002</v>
      </c>
      <c r="V82" s="111">
        <f t="shared" si="147"/>
        <v>59863</v>
      </c>
      <c r="W82" s="111">
        <f t="shared" si="147"/>
        <v>64879</v>
      </c>
      <c r="X82" s="111">
        <f t="shared" si="147"/>
        <v>67842</v>
      </c>
      <c r="Y82" s="335">
        <f t="shared" si="147"/>
        <v>71742</v>
      </c>
      <c r="Z82" s="331">
        <f t="shared" si="147"/>
        <v>75522</v>
      </c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</row>
    <row r="83" spans="1:37" ht="14.25" customHeight="1" thickBot="1" x14ac:dyDescent="0.3">
      <c r="A83" s="112" t="s">
        <v>73</v>
      </c>
      <c r="B83" s="113">
        <v>57548.396059999999</v>
      </c>
      <c r="C83" s="114">
        <v>60330.384480000008</v>
      </c>
      <c r="D83" s="115">
        <v>60813</v>
      </c>
      <c r="E83" s="116">
        <v>63167</v>
      </c>
      <c r="F83" s="116">
        <v>65560</v>
      </c>
      <c r="G83" s="325">
        <v>69729</v>
      </c>
      <c r="H83" s="323">
        <v>72789</v>
      </c>
      <c r="J83" s="112" t="s">
        <v>73</v>
      </c>
      <c r="K83" s="113"/>
      <c r="L83" s="116"/>
      <c r="M83" s="116"/>
      <c r="N83" s="116"/>
      <c r="O83" s="116"/>
      <c r="P83" s="325"/>
      <c r="Q83" s="323"/>
      <c r="S83" s="112" t="s">
        <v>73</v>
      </c>
      <c r="T83" s="117">
        <f t="shared" si="147"/>
        <v>57548.396059999999</v>
      </c>
      <c r="U83" s="118">
        <f t="shared" si="147"/>
        <v>60330.384480000008</v>
      </c>
      <c r="V83" s="119">
        <f t="shared" si="147"/>
        <v>60813</v>
      </c>
      <c r="W83" s="119">
        <f t="shared" si="147"/>
        <v>63167</v>
      </c>
      <c r="X83" s="119">
        <f t="shared" si="147"/>
        <v>65560</v>
      </c>
      <c r="Y83" s="336">
        <f t="shared" si="147"/>
        <v>69729</v>
      </c>
      <c r="Z83" s="332">
        <f t="shared" si="147"/>
        <v>72789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</row>
    <row r="84" spans="1:37" ht="17.25" customHeight="1" thickBot="1" x14ac:dyDescent="0.35">
      <c r="A84" s="120"/>
      <c r="B84" s="394"/>
      <c r="C84" s="394"/>
      <c r="D84" s="394"/>
      <c r="E84" s="394"/>
      <c r="F84" s="394"/>
      <c r="G84" s="394"/>
      <c r="H84" s="394"/>
      <c r="J84" s="120"/>
      <c r="S84" s="122"/>
      <c r="T84" s="123"/>
      <c r="U84" s="123"/>
      <c r="V84" s="124"/>
      <c r="W84" s="124"/>
      <c r="X84" s="124"/>
      <c r="Y84" s="124"/>
      <c r="Z84" s="124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</row>
    <row r="85" spans="1:37" ht="17.25" customHeight="1" thickBot="1" x14ac:dyDescent="0.3">
      <c r="A85" s="95" t="s">
        <v>94</v>
      </c>
      <c r="B85" s="96">
        <f>+B86</f>
        <v>0</v>
      </c>
      <c r="C85" s="97">
        <f t="shared" ref="C85:H85" si="148">+C86</f>
        <v>0</v>
      </c>
      <c r="D85" s="98">
        <f t="shared" si="148"/>
        <v>69871</v>
      </c>
      <c r="E85" s="99">
        <f t="shared" si="148"/>
        <v>75730</v>
      </c>
      <c r="F85" s="99">
        <f t="shared" si="148"/>
        <v>79187</v>
      </c>
      <c r="G85" s="197">
        <f t="shared" si="148"/>
        <v>83746</v>
      </c>
      <c r="H85" s="321">
        <f t="shared" si="148"/>
        <v>88162</v>
      </c>
      <c r="J85" s="95" t="s">
        <v>94</v>
      </c>
      <c r="K85" s="96">
        <f t="shared" ref="K85:Q85" si="149">+K86</f>
        <v>0</v>
      </c>
      <c r="L85" s="97">
        <f t="shared" si="149"/>
        <v>0</v>
      </c>
      <c r="M85" s="98">
        <f t="shared" si="149"/>
        <v>0</v>
      </c>
      <c r="N85" s="99">
        <f t="shared" si="149"/>
        <v>0</v>
      </c>
      <c r="O85" s="99">
        <f t="shared" si="149"/>
        <v>0</v>
      </c>
      <c r="P85" s="197">
        <f t="shared" si="149"/>
        <v>0</v>
      </c>
      <c r="Q85" s="321">
        <f t="shared" si="149"/>
        <v>0</v>
      </c>
      <c r="S85" s="95" t="s">
        <v>94</v>
      </c>
      <c r="T85" s="96">
        <f t="shared" ref="T85:Z85" si="150">+T86</f>
        <v>0</v>
      </c>
      <c r="U85" s="96">
        <f t="shared" si="150"/>
        <v>0</v>
      </c>
      <c r="V85" s="96">
        <f t="shared" si="150"/>
        <v>69871</v>
      </c>
      <c r="W85" s="96">
        <f t="shared" si="150"/>
        <v>75730</v>
      </c>
      <c r="X85" s="96">
        <f t="shared" si="150"/>
        <v>79187</v>
      </c>
      <c r="Y85" s="96">
        <f t="shared" si="150"/>
        <v>83746</v>
      </c>
      <c r="Z85" s="96">
        <f t="shared" si="150"/>
        <v>88162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</row>
    <row r="86" spans="1:37" ht="17.25" customHeight="1" thickBot="1" x14ac:dyDescent="0.3">
      <c r="A86" s="112" t="s">
        <v>72</v>
      </c>
      <c r="B86" s="106">
        <v>0</v>
      </c>
      <c r="C86" s="107">
        <v>0</v>
      </c>
      <c r="D86" s="108">
        <v>69871</v>
      </c>
      <c r="E86" s="109">
        <v>75730</v>
      </c>
      <c r="F86" s="109">
        <v>79187</v>
      </c>
      <c r="G86" s="324">
        <v>83746</v>
      </c>
      <c r="H86" s="322">
        <v>88162</v>
      </c>
      <c r="J86" s="112" t="s">
        <v>72</v>
      </c>
      <c r="K86" s="106"/>
      <c r="L86" s="107"/>
      <c r="M86" s="108"/>
      <c r="N86" s="109"/>
      <c r="O86" s="109"/>
      <c r="P86" s="324"/>
      <c r="Q86" s="322"/>
      <c r="S86" s="112" t="s">
        <v>72</v>
      </c>
      <c r="T86" s="106">
        <f t="shared" ref="T86" si="151">+B86-K86</f>
        <v>0</v>
      </c>
      <c r="U86" s="107">
        <f t="shared" ref="U86" si="152">+C86-L86</f>
        <v>0</v>
      </c>
      <c r="V86" s="108">
        <f t="shared" ref="V86" si="153">+D86-M86</f>
        <v>69871</v>
      </c>
      <c r="W86" s="109">
        <f t="shared" ref="W86" si="154">+E86-N86</f>
        <v>75730</v>
      </c>
      <c r="X86" s="109">
        <f t="shared" ref="X86" si="155">+F86-O86</f>
        <v>79187</v>
      </c>
      <c r="Y86" s="324">
        <f t="shared" ref="Y86" si="156">+G86-P86</f>
        <v>83746</v>
      </c>
      <c r="Z86" s="322">
        <f t="shared" ref="Z86" si="157">+H86-Q86</f>
        <v>88162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</row>
    <row r="87" spans="1:37" ht="17.25" customHeight="1" x14ac:dyDescent="0.3">
      <c r="A87" s="120"/>
      <c r="B87" s="397"/>
      <c r="C87" s="397"/>
      <c r="D87" s="397"/>
      <c r="E87" s="397"/>
      <c r="F87" s="397"/>
      <c r="G87" s="397"/>
      <c r="H87" s="397"/>
      <c r="J87" s="120"/>
      <c r="S87" s="122"/>
      <c r="T87" s="123"/>
      <c r="U87" s="123"/>
      <c r="V87" s="124"/>
      <c r="W87" s="124"/>
      <c r="X87" s="124"/>
      <c r="Y87" s="124"/>
      <c r="Z87" s="124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</row>
    <row r="88" spans="1:37" ht="17.25" customHeight="1" thickBot="1" x14ac:dyDescent="0.35">
      <c r="A88" s="398"/>
      <c r="B88" s="399"/>
      <c r="C88" s="399"/>
      <c r="D88" s="399"/>
      <c r="E88" s="399"/>
      <c r="F88" s="399"/>
      <c r="G88" s="399"/>
      <c r="H88" s="399"/>
      <c r="I88" s="400"/>
      <c r="J88" s="120"/>
      <c r="S88" s="122"/>
      <c r="T88" s="123"/>
      <c r="U88" s="123"/>
      <c r="V88" s="124"/>
      <c r="W88" s="124"/>
      <c r="X88" s="124"/>
      <c r="Y88" s="124"/>
      <c r="Z88" s="124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</row>
    <row r="89" spans="1:37" s="125" customFormat="1" ht="14.25" customHeight="1" thickBot="1" x14ac:dyDescent="0.3">
      <c r="A89" s="100" t="s">
        <v>74</v>
      </c>
      <c r="B89" s="395">
        <v>971786.70429880952</v>
      </c>
      <c r="C89" s="104">
        <v>1063652.2713030158</v>
      </c>
      <c r="D89" s="101">
        <v>1112920</v>
      </c>
      <c r="E89" s="102">
        <v>1166431</v>
      </c>
      <c r="F89" s="103">
        <v>1220219</v>
      </c>
      <c r="G89" s="104">
        <v>1274749</v>
      </c>
      <c r="H89" s="104">
        <v>1326747</v>
      </c>
      <c r="J89" s="100" t="s">
        <v>74</v>
      </c>
      <c r="K89" s="130"/>
      <c r="L89" s="126"/>
      <c r="M89" s="131">
        <v>-1404.7426179592662</v>
      </c>
      <c r="N89" s="129">
        <v>-2980.327352566243</v>
      </c>
      <c r="O89" s="130">
        <v>-3083.9890594115145</v>
      </c>
      <c r="P89" s="131">
        <v>-3155.6244408372418</v>
      </c>
      <c r="Q89" s="311">
        <v>-3247.1535544199469</v>
      </c>
      <c r="S89" s="100" t="s">
        <v>74</v>
      </c>
      <c r="T89" s="130">
        <f t="shared" ref="T89:Z89" si="158">+B89-K89</f>
        <v>971786.70429880952</v>
      </c>
      <c r="U89" s="126">
        <f t="shared" si="158"/>
        <v>1063652.2713030158</v>
      </c>
      <c r="V89" s="131">
        <f t="shared" si="158"/>
        <v>1114324.7426179592</v>
      </c>
      <c r="W89" s="129">
        <f t="shared" si="158"/>
        <v>1169411.3273525662</v>
      </c>
      <c r="X89" s="130">
        <f t="shared" si="158"/>
        <v>1223302.9890594115</v>
      </c>
      <c r="Y89" s="131">
        <f t="shared" si="158"/>
        <v>1277904.6244408372</v>
      </c>
      <c r="Z89" s="311">
        <f t="shared" si="158"/>
        <v>1329994.15355442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</row>
    <row r="90" spans="1:37" ht="14.25" customHeight="1" thickBot="1" x14ac:dyDescent="0.3">
      <c r="B90" s="273"/>
      <c r="C90" s="273"/>
      <c r="D90" s="273"/>
      <c r="E90" s="273"/>
      <c r="F90" s="273"/>
      <c r="G90" s="273"/>
      <c r="H90" s="273"/>
      <c r="T90" s="133"/>
      <c r="U90" s="133"/>
      <c r="V90" s="22"/>
      <c r="W90" s="22"/>
      <c r="X90" s="22"/>
      <c r="Y90" s="22"/>
      <c r="Z90" s="22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</row>
    <row r="91" spans="1:37" ht="13.5" customHeight="1" x14ac:dyDescent="0.25">
      <c r="A91" s="134" t="s">
        <v>75</v>
      </c>
      <c r="B91" s="135">
        <f t="shared" ref="B91:G91" si="159">SUM(B92,B95,B98)</f>
        <v>1378410.6550499999</v>
      </c>
      <c r="C91" s="139">
        <f t="shared" si="159"/>
        <v>805683.45668494143</v>
      </c>
      <c r="D91" s="137">
        <f t="shared" si="159"/>
        <v>815259</v>
      </c>
      <c r="E91" s="136">
        <f t="shared" si="159"/>
        <v>821993</v>
      </c>
      <c r="F91" s="138">
        <f t="shared" si="159"/>
        <v>824938</v>
      </c>
      <c r="G91" s="136">
        <f t="shared" si="159"/>
        <v>826512</v>
      </c>
      <c r="H91" s="314">
        <f t="shared" ref="H91" si="160">SUM(H92,H95,H98)</f>
        <v>828470</v>
      </c>
      <c r="J91" s="134" t="s">
        <v>75</v>
      </c>
      <c r="K91" s="135">
        <f t="shared" ref="K91:P91" si="161">SUM(K92,K95,K98)</f>
        <v>0</v>
      </c>
      <c r="L91" s="136">
        <f t="shared" si="161"/>
        <v>0</v>
      </c>
      <c r="M91" s="137">
        <f t="shared" si="161"/>
        <v>0</v>
      </c>
      <c r="N91" s="136">
        <f t="shared" si="161"/>
        <v>0</v>
      </c>
      <c r="O91" s="138">
        <f t="shared" si="161"/>
        <v>0</v>
      </c>
      <c r="P91" s="136">
        <f t="shared" si="161"/>
        <v>0</v>
      </c>
      <c r="Q91" s="314">
        <f t="shared" ref="Q91" si="162">SUM(Q92,Q95,Q98)</f>
        <v>0</v>
      </c>
      <c r="S91" s="134" t="s">
        <v>75</v>
      </c>
      <c r="T91" s="135">
        <f t="shared" ref="T91:Y91" si="163">SUM(T92,T95,T98)</f>
        <v>1378410.6550499999</v>
      </c>
      <c r="U91" s="136">
        <f t="shared" si="163"/>
        <v>805683.45668494143</v>
      </c>
      <c r="V91" s="137">
        <f t="shared" si="163"/>
        <v>815259</v>
      </c>
      <c r="W91" s="136">
        <f t="shared" si="163"/>
        <v>821993</v>
      </c>
      <c r="X91" s="138">
        <f t="shared" si="163"/>
        <v>824938</v>
      </c>
      <c r="Y91" s="136">
        <f t="shared" si="163"/>
        <v>826512</v>
      </c>
      <c r="Z91" s="314">
        <f t="shared" ref="Z91" si="164">SUM(Z92,Z95,Z98)</f>
        <v>828470</v>
      </c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</row>
    <row r="92" spans="1:37" ht="13.5" customHeight="1" x14ac:dyDescent="0.25">
      <c r="A92" s="140" t="s">
        <v>76</v>
      </c>
      <c r="B92" s="141">
        <f>+B93+B94</f>
        <v>3.9778600000000002</v>
      </c>
      <c r="C92" s="142">
        <f t="shared" ref="C92:H92" si="165">+C93+C94</f>
        <v>0</v>
      </c>
      <c r="D92" s="143">
        <f t="shared" si="165"/>
        <v>0</v>
      </c>
      <c r="E92" s="144">
        <f t="shared" si="165"/>
        <v>0</v>
      </c>
      <c r="F92" s="145">
        <f t="shared" si="165"/>
        <v>0</v>
      </c>
      <c r="G92" s="144">
        <f t="shared" si="165"/>
        <v>0</v>
      </c>
      <c r="H92" s="315">
        <f t="shared" si="165"/>
        <v>0</v>
      </c>
      <c r="J92" s="140" t="s">
        <v>76</v>
      </c>
      <c r="K92" s="141">
        <f t="shared" ref="K92:P92" si="166">SUM(K93:K94)</f>
        <v>0</v>
      </c>
      <c r="L92" s="144">
        <f t="shared" si="166"/>
        <v>0</v>
      </c>
      <c r="M92" s="143">
        <f t="shared" si="166"/>
        <v>0</v>
      </c>
      <c r="N92" s="144">
        <f t="shared" si="166"/>
        <v>0</v>
      </c>
      <c r="O92" s="145">
        <f t="shared" si="166"/>
        <v>0</v>
      </c>
      <c r="P92" s="144">
        <f t="shared" si="166"/>
        <v>0</v>
      </c>
      <c r="Q92" s="315">
        <f t="shared" ref="Q92" si="167">SUM(Q93:Q94)</f>
        <v>0</v>
      </c>
      <c r="S92" s="140" t="s">
        <v>76</v>
      </c>
      <c r="T92" s="141">
        <f t="shared" ref="T92:Y92" si="168">SUM(T93:T94)</f>
        <v>3.9778600000000002</v>
      </c>
      <c r="U92" s="144">
        <f t="shared" si="168"/>
        <v>0</v>
      </c>
      <c r="V92" s="143">
        <f t="shared" si="168"/>
        <v>0</v>
      </c>
      <c r="W92" s="144">
        <f t="shared" si="168"/>
        <v>0</v>
      </c>
      <c r="X92" s="145">
        <f t="shared" si="168"/>
        <v>0</v>
      </c>
      <c r="Y92" s="144">
        <f t="shared" si="168"/>
        <v>0</v>
      </c>
      <c r="Z92" s="315">
        <f t="shared" ref="Z92" si="169">SUM(Z93:Z94)</f>
        <v>0</v>
      </c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</row>
    <row r="93" spans="1:37" ht="13.5" customHeight="1" x14ac:dyDescent="0.25">
      <c r="A93" s="146" t="s">
        <v>8</v>
      </c>
      <c r="B93" s="141">
        <v>-4.4139999999999999E-2</v>
      </c>
      <c r="C93" s="142">
        <v>0</v>
      </c>
      <c r="D93" s="143">
        <v>0</v>
      </c>
      <c r="E93" s="144">
        <v>0</v>
      </c>
      <c r="F93" s="145">
        <v>0</v>
      </c>
      <c r="G93" s="144">
        <v>0</v>
      </c>
      <c r="H93" s="315">
        <v>0</v>
      </c>
      <c r="J93" s="146" t="s">
        <v>8</v>
      </c>
      <c r="K93" s="141"/>
      <c r="L93" s="145"/>
      <c r="M93" s="145"/>
      <c r="N93" s="144"/>
      <c r="O93" s="145"/>
      <c r="P93" s="144"/>
      <c r="Q93" s="315"/>
      <c r="S93" s="146" t="s">
        <v>8</v>
      </c>
      <c r="T93" s="141">
        <f t="shared" ref="T93:Z94" si="170">+B93-K93</f>
        <v>-4.4139999999999999E-2</v>
      </c>
      <c r="U93" s="145">
        <f t="shared" si="170"/>
        <v>0</v>
      </c>
      <c r="V93" s="145">
        <f t="shared" si="170"/>
        <v>0</v>
      </c>
      <c r="W93" s="144">
        <f t="shared" si="170"/>
        <v>0</v>
      </c>
      <c r="X93" s="145">
        <f t="shared" si="170"/>
        <v>0</v>
      </c>
      <c r="Y93" s="144">
        <f t="shared" si="170"/>
        <v>0</v>
      </c>
      <c r="Z93" s="315">
        <f t="shared" si="170"/>
        <v>0</v>
      </c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</row>
    <row r="94" spans="1:37" ht="13.5" customHeight="1" x14ac:dyDescent="0.25">
      <c r="A94" s="146" t="s">
        <v>9</v>
      </c>
      <c r="B94" s="141">
        <v>4.0220000000000002</v>
      </c>
      <c r="C94" s="142">
        <v>0</v>
      </c>
      <c r="D94" s="143">
        <v>0</v>
      </c>
      <c r="E94" s="144">
        <v>0</v>
      </c>
      <c r="F94" s="145">
        <v>0</v>
      </c>
      <c r="G94" s="144">
        <v>0</v>
      </c>
      <c r="H94" s="315">
        <v>0</v>
      </c>
      <c r="J94" s="146" t="s">
        <v>9</v>
      </c>
      <c r="K94" s="141"/>
      <c r="L94" s="145"/>
      <c r="M94" s="145"/>
      <c r="N94" s="144"/>
      <c r="O94" s="145"/>
      <c r="P94" s="144"/>
      <c r="Q94" s="315"/>
      <c r="S94" s="146" t="s">
        <v>9</v>
      </c>
      <c r="T94" s="141">
        <f t="shared" si="170"/>
        <v>4.0220000000000002</v>
      </c>
      <c r="U94" s="145">
        <f t="shared" si="170"/>
        <v>0</v>
      </c>
      <c r="V94" s="145">
        <f t="shared" si="170"/>
        <v>0</v>
      </c>
      <c r="W94" s="144">
        <f t="shared" si="170"/>
        <v>0</v>
      </c>
      <c r="X94" s="145">
        <f t="shared" si="170"/>
        <v>0</v>
      </c>
      <c r="Y94" s="144">
        <f t="shared" si="170"/>
        <v>0</v>
      </c>
      <c r="Z94" s="315">
        <f t="shared" si="170"/>
        <v>0</v>
      </c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</row>
    <row r="95" spans="1:37" ht="13.5" customHeight="1" x14ac:dyDescent="0.25">
      <c r="A95" s="140" t="s">
        <v>77</v>
      </c>
      <c r="B95" s="141">
        <f>+B96+B97</f>
        <v>1365449.67719</v>
      </c>
      <c r="C95" s="142">
        <f t="shared" ref="C95" si="171">+C96+C97</f>
        <v>788927.90015330177</v>
      </c>
      <c r="D95" s="143">
        <f t="shared" ref="D95" si="172">+D96+D97</f>
        <v>793498</v>
      </c>
      <c r="E95" s="144">
        <f t="shared" ref="E95" si="173">+E96+E97</f>
        <v>797801</v>
      </c>
      <c r="F95" s="145">
        <f t="shared" ref="F95" si="174">+F96+F97</f>
        <v>799226</v>
      </c>
      <c r="G95" s="144">
        <f t="shared" ref="G95" si="175">+G96+G97</f>
        <v>800083</v>
      </c>
      <c r="H95" s="315">
        <f t="shared" ref="H95" si="176">+H96+H97</f>
        <v>801699</v>
      </c>
      <c r="J95" s="140" t="s">
        <v>77</v>
      </c>
      <c r="K95" s="147">
        <f t="shared" ref="K95:P95" si="177">SUM(K96:K97)</f>
        <v>0</v>
      </c>
      <c r="L95" s="149">
        <f t="shared" si="177"/>
        <v>0</v>
      </c>
      <c r="M95" s="150">
        <f t="shared" si="177"/>
        <v>0</v>
      </c>
      <c r="N95" s="47">
        <f t="shared" si="177"/>
        <v>0</v>
      </c>
      <c r="O95" s="47">
        <f t="shared" si="177"/>
        <v>0</v>
      </c>
      <c r="P95" s="318">
        <f t="shared" si="177"/>
        <v>0</v>
      </c>
      <c r="Q95" s="316">
        <f t="shared" ref="Q95" si="178">SUM(Q96:Q97)</f>
        <v>0</v>
      </c>
      <c r="S95" s="140" t="s">
        <v>77</v>
      </c>
      <c r="T95" s="147">
        <f t="shared" ref="T95:Y95" si="179">SUM(T96:T97)</f>
        <v>1365449.67719</v>
      </c>
      <c r="U95" s="149">
        <f t="shared" si="179"/>
        <v>788927.90015330177</v>
      </c>
      <c r="V95" s="150">
        <f t="shared" si="179"/>
        <v>793498</v>
      </c>
      <c r="W95" s="47">
        <f t="shared" si="179"/>
        <v>797801</v>
      </c>
      <c r="X95" s="47">
        <f t="shared" si="179"/>
        <v>799226</v>
      </c>
      <c r="Y95" s="318">
        <f t="shared" si="179"/>
        <v>800083</v>
      </c>
      <c r="Z95" s="316">
        <f t="shared" ref="Z95" si="180">SUM(Z96:Z97)</f>
        <v>801699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</row>
    <row r="96" spans="1:37" ht="13.5" customHeight="1" x14ac:dyDescent="0.25">
      <c r="A96" s="146" t="s">
        <v>8</v>
      </c>
      <c r="B96" s="141">
        <v>1006392.21819</v>
      </c>
      <c r="C96" s="142">
        <v>565187.13573503273</v>
      </c>
      <c r="D96" s="143">
        <v>568338</v>
      </c>
      <c r="E96" s="144">
        <v>571382</v>
      </c>
      <c r="F96" s="145">
        <v>571930</v>
      </c>
      <c r="G96" s="144">
        <v>572058</v>
      </c>
      <c r="H96" s="315">
        <v>572873</v>
      </c>
      <c r="J96" s="146" t="s">
        <v>8</v>
      </c>
      <c r="K96" s="147"/>
      <c r="L96" s="149"/>
      <c r="M96" s="149"/>
      <c r="N96" s="149"/>
      <c r="O96" s="149"/>
      <c r="P96" s="150"/>
      <c r="Q96" s="151"/>
      <c r="S96" s="146" t="s">
        <v>8</v>
      </c>
      <c r="T96" s="147">
        <f t="shared" ref="T96:Z97" si="181">+B96-K96</f>
        <v>1006392.21819</v>
      </c>
      <c r="U96" s="149">
        <f t="shared" si="181"/>
        <v>565187.13573503273</v>
      </c>
      <c r="V96" s="149">
        <f t="shared" si="181"/>
        <v>568338</v>
      </c>
      <c r="W96" s="149">
        <f t="shared" si="181"/>
        <v>571382</v>
      </c>
      <c r="X96" s="149">
        <f t="shared" si="181"/>
        <v>571930</v>
      </c>
      <c r="Y96" s="150">
        <f t="shared" si="181"/>
        <v>572058</v>
      </c>
      <c r="Z96" s="151">
        <f t="shared" si="181"/>
        <v>572873</v>
      </c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</row>
    <row r="97" spans="1:37" ht="14.25" customHeight="1" x14ac:dyDescent="0.25">
      <c r="A97" s="146" t="s">
        <v>9</v>
      </c>
      <c r="B97" s="141">
        <v>359057.45899999997</v>
      </c>
      <c r="C97" s="142">
        <v>223740.76441826901</v>
      </c>
      <c r="D97" s="143">
        <v>225160</v>
      </c>
      <c r="E97" s="144">
        <v>226419</v>
      </c>
      <c r="F97" s="145">
        <v>227296</v>
      </c>
      <c r="G97" s="144">
        <v>228025</v>
      </c>
      <c r="H97" s="315">
        <v>228826</v>
      </c>
      <c r="J97" s="146" t="s">
        <v>9</v>
      </c>
      <c r="K97" s="147"/>
      <c r="L97" s="149"/>
      <c r="M97" s="149"/>
      <c r="N97" s="149"/>
      <c r="O97" s="149"/>
      <c r="P97" s="150"/>
      <c r="Q97" s="151"/>
      <c r="S97" s="146" t="s">
        <v>9</v>
      </c>
      <c r="T97" s="147">
        <f t="shared" si="181"/>
        <v>359057.45899999997</v>
      </c>
      <c r="U97" s="149">
        <f t="shared" si="181"/>
        <v>223740.76441826901</v>
      </c>
      <c r="V97" s="149">
        <f t="shared" si="181"/>
        <v>225160</v>
      </c>
      <c r="W97" s="149">
        <f t="shared" si="181"/>
        <v>226419</v>
      </c>
      <c r="X97" s="149">
        <f t="shared" si="181"/>
        <v>227296</v>
      </c>
      <c r="Y97" s="150">
        <f t="shared" si="181"/>
        <v>228025</v>
      </c>
      <c r="Z97" s="151">
        <f t="shared" si="181"/>
        <v>228826</v>
      </c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</row>
    <row r="98" spans="1:37" ht="13.5" customHeight="1" x14ac:dyDescent="0.25">
      <c r="A98" s="152" t="s">
        <v>78</v>
      </c>
      <c r="B98" s="141">
        <f>+B99+B100</f>
        <v>12957</v>
      </c>
      <c r="C98" s="142">
        <f t="shared" ref="C98" si="182">+C99+C100</f>
        <v>16755.556531639624</v>
      </c>
      <c r="D98" s="143">
        <f t="shared" ref="D98" si="183">+D99+D100</f>
        <v>21761</v>
      </c>
      <c r="E98" s="144">
        <f t="shared" ref="E98" si="184">+E99+E100</f>
        <v>24192</v>
      </c>
      <c r="F98" s="145">
        <f t="shared" ref="F98" si="185">+F99+F100</f>
        <v>25712</v>
      </c>
      <c r="G98" s="144">
        <f t="shared" ref="G98" si="186">+G99+G100</f>
        <v>26429</v>
      </c>
      <c r="H98" s="315">
        <f t="shared" ref="H98" si="187">+H99+H100</f>
        <v>26771</v>
      </c>
      <c r="J98" s="152" t="s">
        <v>78</v>
      </c>
      <c r="K98" s="153">
        <f t="shared" ref="K98:P98" si="188">SUM(K99:K100)</f>
        <v>0</v>
      </c>
      <c r="L98" s="155">
        <f t="shared" si="188"/>
        <v>0</v>
      </c>
      <c r="M98" s="158">
        <f t="shared" si="188"/>
        <v>0</v>
      </c>
      <c r="N98" s="156">
        <f t="shared" si="188"/>
        <v>0</v>
      </c>
      <c r="O98" s="156">
        <f t="shared" si="188"/>
        <v>0</v>
      </c>
      <c r="P98" s="319">
        <f t="shared" si="188"/>
        <v>0</v>
      </c>
      <c r="Q98" s="317">
        <f t="shared" ref="Q98" si="189">SUM(Q99:Q100)</f>
        <v>0</v>
      </c>
      <c r="S98" s="152" t="s">
        <v>78</v>
      </c>
      <c r="T98" s="153">
        <f t="shared" ref="T98:Y98" si="190">SUM(T99:T100)</f>
        <v>12957</v>
      </c>
      <c r="U98" s="155">
        <f t="shared" si="190"/>
        <v>16755.556531639624</v>
      </c>
      <c r="V98" s="158">
        <f t="shared" si="190"/>
        <v>21761</v>
      </c>
      <c r="W98" s="156">
        <f t="shared" si="190"/>
        <v>24192</v>
      </c>
      <c r="X98" s="156">
        <f t="shared" si="190"/>
        <v>25712</v>
      </c>
      <c r="Y98" s="319">
        <f t="shared" si="190"/>
        <v>26429</v>
      </c>
      <c r="Z98" s="317">
        <f t="shared" ref="Z98" si="191">SUM(Z99:Z100)</f>
        <v>26771</v>
      </c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</row>
    <row r="99" spans="1:37" ht="13.5" customHeight="1" x14ac:dyDescent="0.25">
      <c r="A99" s="146" t="s">
        <v>8</v>
      </c>
      <c r="B99" s="149">
        <v>7378</v>
      </c>
      <c r="C99" s="148">
        <v>8650.9520462325054</v>
      </c>
      <c r="D99" s="149">
        <v>12567</v>
      </c>
      <c r="E99" s="149">
        <v>14256</v>
      </c>
      <c r="F99" s="149">
        <v>15406</v>
      </c>
      <c r="G99" s="150">
        <v>15980</v>
      </c>
      <c r="H99" s="151">
        <v>16201</v>
      </c>
      <c r="J99" s="146" t="s">
        <v>8</v>
      </c>
      <c r="K99" s="149"/>
      <c r="L99" s="149"/>
      <c r="M99" s="149"/>
      <c r="N99" s="149"/>
      <c r="O99" s="149"/>
      <c r="P99" s="150"/>
      <c r="Q99" s="151"/>
      <c r="S99" s="146" t="s">
        <v>8</v>
      </c>
      <c r="T99" s="149">
        <f t="shared" ref="T99:Z100" si="192">+B99-K99</f>
        <v>7378</v>
      </c>
      <c r="U99" s="149">
        <f t="shared" si="192"/>
        <v>8650.9520462325054</v>
      </c>
      <c r="V99" s="149">
        <f t="shared" si="192"/>
        <v>12567</v>
      </c>
      <c r="W99" s="149">
        <f t="shared" si="192"/>
        <v>14256</v>
      </c>
      <c r="X99" s="149">
        <f t="shared" si="192"/>
        <v>15406</v>
      </c>
      <c r="Y99" s="150">
        <f t="shared" si="192"/>
        <v>15980</v>
      </c>
      <c r="Z99" s="151">
        <f t="shared" si="192"/>
        <v>16201</v>
      </c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</row>
    <row r="100" spans="1:37" ht="13.5" customHeight="1" thickBot="1" x14ac:dyDescent="0.3">
      <c r="A100" s="159" t="s">
        <v>9</v>
      </c>
      <c r="B100" s="160">
        <v>5579</v>
      </c>
      <c r="C100" s="161">
        <v>8104.6044854071197</v>
      </c>
      <c r="D100" s="160">
        <v>9194</v>
      </c>
      <c r="E100" s="160">
        <v>9936</v>
      </c>
      <c r="F100" s="160">
        <v>10306</v>
      </c>
      <c r="G100" s="320">
        <v>10449</v>
      </c>
      <c r="H100" s="162">
        <v>10570</v>
      </c>
      <c r="J100" s="159" t="s">
        <v>9</v>
      </c>
      <c r="K100" s="160"/>
      <c r="L100" s="160"/>
      <c r="M100" s="160"/>
      <c r="N100" s="160"/>
      <c r="O100" s="160"/>
      <c r="P100" s="320"/>
      <c r="Q100" s="162"/>
      <c r="S100" s="159" t="s">
        <v>9</v>
      </c>
      <c r="T100" s="160">
        <f t="shared" si="192"/>
        <v>5579</v>
      </c>
      <c r="U100" s="160">
        <f t="shared" si="192"/>
        <v>8104.6044854071197</v>
      </c>
      <c r="V100" s="160">
        <f t="shared" si="192"/>
        <v>9194</v>
      </c>
      <c r="W100" s="160">
        <f t="shared" si="192"/>
        <v>9936</v>
      </c>
      <c r="X100" s="160">
        <f t="shared" si="192"/>
        <v>10306</v>
      </c>
      <c r="Y100" s="320">
        <f t="shared" si="192"/>
        <v>10449</v>
      </c>
      <c r="Z100" s="162">
        <f t="shared" si="192"/>
        <v>10570</v>
      </c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</row>
    <row r="101" spans="1:37" ht="13.5" customHeight="1" x14ac:dyDescent="0.25">
      <c r="A101" s="163" t="s">
        <v>79</v>
      </c>
      <c r="B101" s="133"/>
      <c r="C101" s="133"/>
      <c r="D101" s="133"/>
      <c r="E101" s="133"/>
      <c r="F101" s="133"/>
      <c r="G101" s="133"/>
      <c r="H101" s="133"/>
    </row>
    <row r="102" spans="1:37" ht="13.5" customHeight="1" x14ac:dyDescent="0.25">
      <c r="A102" s="163" t="s">
        <v>80</v>
      </c>
      <c r="B102" s="133"/>
      <c r="C102" s="133"/>
      <c r="D102" s="133"/>
      <c r="E102" s="133"/>
      <c r="F102" s="133"/>
      <c r="G102" s="133"/>
      <c r="H102" s="133"/>
      <c r="N102" s="22"/>
      <c r="O102" s="22"/>
      <c r="P102" s="22"/>
      <c r="Q102" s="22"/>
      <c r="T102" s="133"/>
      <c r="U102" s="133"/>
      <c r="V102" s="133"/>
      <c r="W102" s="133"/>
      <c r="X102" s="133"/>
      <c r="Y102" s="133"/>
      <c r="Z102" s="133"/>
    </row>
    <row r="103" spans="1:37" ht="13.5" customHeight="1" x14ac:dyDescent="0.25">
      <c r="A103" s="421" t="s">
        <v>81</v>
      </c>
      <c r="B103" s="421"/>
      <c r="C103" s="421"/>
      <c r="D103" s="421"/>
      <c r="E103" s="421"/>
      <c r="F103" s="421"/>
      <c r="G103" s="421"/>
      <c r="H103" s="287"/>
      <c r="K103" s="133"/>
      <c r="N103" s="23"/>
      <c r="O103" s="23"/>
      <c r="P103" s="23"/>
      <c r="Q103" s="23"/>
      <c r="T103" s="133"/>
      <c r="U103" s="133"/>
      <c r="V103" s="133"/>
      <c r="W103" s="133"/>
      <c r="X103" s="133"/>
      <c r="Y103" s="133"/>
      <c r="Z103" s="133"/>
    </row>
    <row r="104" spans="1:37" ht="13.5" customHeight="1" x14ac:dyDescent="0.25">
      <c r="A104" s="421"/>
      <c r="B104" s="421"/>
      <c r="C104" s="421"/>
      <c r="D104" s="421"/>
      <c r="E104" s="421"/>
      <c r="F104" s="421"/>
      <c r="G104" s="421"/>
      <c r="H104" s="287"/>
      <c r="K104" s="133"/>
      <c r="N104" s="23"/>
      <c r="O104" s="23"/>
      <c r="P104" s="23"/>
      <c r="Q104" s="23"/>
      <c r="T104" s="133"/>
      <c r="U104" s="133"/>
      <c r="V104" s="133"/>
      <c r="W104" s="133"/>
      <c r="X104" s="133"/>
      <c r="Y104" s="133"/>
      <c r="Z104" s="133"/>
    </row>
    <row r="105" spans="1:37" ht="13.5" customHeight="1" x14ac:dyDescent="0.25">
      <c r="A105" s="91"/>
      <c r="B105" s="164"/>
      <c r="C105" s="164"/>
      <c r="D105" s="164"/>
      <c r="E105" s="164"/>
      <c r="F105" s="164"/>
      <c r="G105" s="164"/>
      <c r="H105" s="164"/>
      <c r="K105" s="133"/>
      <c r="M105" s="22"/>
      <c r="N105" s="23"/>
      <c r="O105" s="23"/>
      <c r="P105" s="23"/>
      <c r="Q105" s="23"/>
      <c r="T105" s="133"/>
      <c r="U105" s="133"/>
      <c r="V105" s="133"/>
      <c r="W105" s="133"/>
      <c r="X105" s="133"/>
      <c r="Y105" s="133"/>
      <c r="Z105" s="133"/>
    </row>
    <row r="106" spans="1:37" ht="13.5" customHeight="1" x14ac:dyDescent="0.25">
      <c r="B106" s="164"/>
      <c r="C106" s="164"/>
      <c r="D106" s="164"/>
      <c r="E106" s="164"/>
      <c r="F106" s="164"/>
      <c r="G106" s="164"/>
      <c r="H106" s="164"/>
      <c r="K106" s="133"/>
      <c r="L106" s="133"/>
      <c r="M106" s="133"/>
      <c r="N106" s="23"/>
      <c r="O106" s="23"/>
      <c r="P106" s="23"/>
      <c r="Q106" s="23"/>
      <c r="T106" s="133"/>
      <c r="U106" s="133"/>
      <c r="V106" s="133"/>
      <c r="W106" s="133"/>
      <c r="X106" s="133"/>
      <c r="Y106" s="133"/>
      <c r="Z106" s="133"/>
    </row>
    <row r="107" spans="1:37" ht="13.5" customHeight="1" x14ac:dyDescent="0.25">
      <c r="B107" s="164"/>
      <c r="C107" s="164"/>
      <c r="D107" s="164"/>
      <c r="E107" s="164"/>
      <c r="F107" s="164"/>
      <c r="G107" s="164"/>
      <c r="H107" s="164"/>
      <c r="K107" s="133"/>
      <c r="L107" s="133"/>
      <c r="M107" s="133"/>
      <c r="N107" s="23"/>
      <c r="O107" s="23"/>
      <c r="P107" s="23"/>
      <c r="Q107" s="23"/>
      <c r="T107" s="133"/>
      <c r="U107" s="133"/>
      <c r="V107" s="133"/>
      <c r="W107" s="133"/>
      <c r="X107" s="133"/>
      <c r="Y107" s="133"/>
      <c r="Z107" s="133"/>
    </row>
    <row r="108" spans="1:37" ht="13.5" customHeight="1" x14ac:dyDescent="0.25">
      <c r="B108" s="164"/>
      <c r="C108" s="164"/>
      <c r="D108" s="164"/>
      <c r="E108" s="164"/>
      <c r="F108" s="164"/>
      <c r="G108" s="164"/>
      <c r="H108" s="164"/>
      <c r="J108" s="22"/>
      <c r="K108" s="22"/>
      <c r="L108" s="22"/>
      <c r="M108" s="22"/>
      <c r="N108" s="22"/>
      <c r="O108" s="22"/>
      <c r="P108" s="22"/>
      <c r="Q108" s="22"/>
      <c r="R108" s="22"/>
      <c r="T108" s="133"/>
      <c r="U108" s="133"/>
      <c r="V108" s="133"/>
      <c r="W108" s="133"/>
      <c r="X108" s="133"/>
      <c r="Y108" s="133"/>
      <c r="Z108" s="133"/>
    </row>
    <row r="109" spans="1:37" ht="13.5" customHeight="1" x14ac:dyDescent="0.25">
      <c r="B109" s="164"/>
      <c r="C109" s="164"/>
      <c r="D109" s="164"/>
      <c r="E109" s="164"/>
      <c r="F109" s="164"/>
      <c r="G109" s="164"/>
      <c r="H109" s="164"/>
      <c r="I109" s="164"/>
      <c r="J109" s="22"/>
      <c r="K109" s="22"/>
      <c r="L109" s="22"/>
      <c r="M109" s="22"/>
      <c r="N109" s="22"/>
      <c r="O109" s="22"/>
      <c r="P109" s="22"/>
      <c r="Q109" s="22"/>
      <c r="R109" s="22"/>
      <c r="T109" s="133"/>
      <c r="U109" s="133"/>
      <c r="V109" s="133"/>
      <c r="W109" s="133"/>
      <c r="X109" s="133"/>
      <c r="Y109" s="133"/>
      <c r="Z109" s="133"/>
    </row>
    <row r="110" spans="1:37" ht="13.5" customHeight="1" x14ac:dyDescent="0.25">
      <c r="B110" s="164"/>
      <c r="C110" s="164"/>
      <c r="D110" s="164"/>
      <c r="E110" s="164"/>
      <c r="F110" s="164"/>
      <c r="G110" s="164"/>
      <c r="H110" s="164"/>
      <c r="J110" s="22"/>
      <c r="K110" s="22"/>
      <c r="L110" s="22"/>
      <c r="M110" s="22"/>
      <c r="N110" s="22"/>
      <c r="O110" s="22"/>
      <c r="P110" s="22"/>
      <c r="Q110" s="22"/>
      <c r="R110" s="22"/>
      <c r="T110" s="133"/>
      <c r="U110" s="133"/>
      <c r="V110" s="133"/>
      <c r="W110" s="133"/>
      <c r="X110" s="133"/>
      <c r="Y110" s="133"/>
      <c r="Z110" s="133"/>
    </row>
    <row r="111" spans="1:37" ht="13.5" customHeight="1" x14ac:dyDescent="0.25">
      <c r="B111" s="164"/>
      <c r="C111" s="164"/>
      <c r="D111" s="164"/>
      <c r="E111" s="164"/>
      <c r="F111" s="164"/>
      <c r="G111" s="164"/>
      <c r="H111" s="164"/>
      <c r="J111" s="22"/>
      <c r="K111" s="22"/>
      <c r="L111" s="22"/>
      <c r="M111" s="22"/>
      <c r="N111" s="22"/>
      <c r="O111" s="22"/>
      <c r="P111" s="22"/>
      <c r="Q111" s="22"/>
      <c r="R111" s="22"/>
      <c r="T111" s="133"/>
      <c r="U111" s="133"/>
      <c r="V111" s="133"/>
      <c r="W111" s="133"/>
      <c r="X111" s="133"/>
      <c r="Y111" s="133"/>
      <c r="Z111" s="133"/>
    </row>
    <row r="112" spans="1:37" ht="13.5" customHeight="1" x14ac:dyDescent="0.25">
      <c r="B112" s="164"/>
      <c r="C112" s="164"/>
      <c r="D112" s="164"/>
      <c r="E112" s="164"/>
      <c r="F112" s="164"/>
      <c r="G112" s="164"/>
      <c r="H112" s="164"/>
      <c r="J112" s="22"/>
      <c r="K112" s="22"/>
      <c r="L112" s="22"/>
      <c r="M112" s="22"/>
      <c r="N112" s="22"/>
      <c r="O112" s="22"/>
      <c r="P112" s="22"/>
      <c r="Q112" s="22"/>
      <c r="R112" s="22"/>
      <c r="T112" s="133"/>
      <c r="U112" s="133"/>
      <c r="V112" s="133"/>
      <c r="W112" s="133"/>
      <c r="X112" s="133"/>
      <c r="Y112" s="133"/>
      <c r="Z112" s="133"/>
    </row>
    <row r="113" spans="2:26" ht="13.5" customHeight="1" x14ac:dyDescent="0.25">
      <c r="B113" s="164"/>
      <c r="C113" s="164"/>
      <c r="D113" s="164"/>
      <c r="E113" s="164"/>
      <c r="F113" s="164"/>
      <c r="G113" s="164"/>
      <c r="H113" s="164"/>
      <c r="J113" s="22"/>
      <c r="K113" s="22"/>
      <c r="L113" s="22"/>
      <c r="M113" s="22"/>
      <c r="N113" s="22"/>
      <c r="O113" s="22"/>
      <c r="P113" s="22"/>
      <c r="Q113" s="22"/>
      <c r="R113" s="22"/>
      <c r="T113" s="133"/>
      <c r="U113" s="133"/>
      <c r="V113" s="133"/>
      <c r="W113" s="133"/>
      <c r="X113" s="133"/>
      <c r="Y113" s="133"/>
      <c r="Z113" s="133"/>
    </row>
    <row r="114" spans="2:26" ht="13.5" customHeight="1" x14ac:dyDescent="0.25">
      <c r="B114" s="164"/>
      <c r="C114" s="164"/>
      <c r="D114" s="164"/>
      <c r="E114" s="164"/>
      <c r="F114" s="164"/>
      <c r="G114" s="164"/>
      <c r="H114" s="164"/>
      <c r="J114" s="22"/>
      <c r="K114" s="22"/>
      <c r="L114" s="22"/>
      <c r="M114" s="22"/>
      <c r="N114" s="22"/>
      <c r="O114" s="22"/>
      <c r="P114" s="22"/>
      <c r="Q114" s="22"/>
      <c r="R114" s="22"/>
      <c r="T114" s="133"/>
      <c r="U114" s="133"/>
      <c r="V114" s="133"/>
      <c r="W114" s="133"/>
      <c r="X114" s="133"/>
      <c r="Y114" s="133"/>
      <c r="Z114" s="133"/>
    </row>
    <row r="115" spans="2:26" ht="13.5" customHeight="1" x14ac:dyDescent="0.25">
      <c r="B115" s="164"/>
      <c r="C115" s="164"/>
      <c r="D115" s="164"/>
      <c r="E115" s="164"/>
      <c r="F115" s="164"/>
      <c r="G115" s="164"/>
      <c r="H115" s="164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2:26" ht="13.5" customHeight="1" x14ac:dyDescent="0.25">
      <c r="B116" s="164"/>
      <c r="C116" s="164"/>
      <c r="D116" s="164"/>
      <c r="E116" s="164"/>
      <c r="F116" s="164"/>
      <c r="G116" s="164"/>
      <c r="H116" s="164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2:26" ht="13.5" customHeight="1" x14ac:dyDescent="0.25">
      <c r="B117" s="164"/>
      <c r="C117" s="164"/>
      <c r="D117" s="164"/>
      <c r="E117" s="164"/>
      <c r="F117" s="164"/>
      <c r="G117" s="164"/>
      <c r="H117" s="164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2:26" ht="13.5" customHeight="1" x14ac:dyDescent="0.25">
      <c r="B118" s="164"/>
      <c r="C118" s="164"/>
      <c r="D118" s="164"/>
      <c r="E118" s="164"/>
      <c r="F118" s="164"/>
      <c r="G118" s="164"/>
      <c r="H118" s="164"/>
      <c r="N118" s="22"/>
      <c r="O118" s="22"/>
      <c r="P118" s="22"/>
      <c r="Q118" s="22"/>
    </row>
    <row r="119" spans="2:26" ht="13.5" customHeight="1" x14ac:dyDescent="0.25">
      <c r="B119" s="164"/>
      <c r="C119" s="164"/>
      <c r="D119" s="164"/>
      <c r="E119" s="164"/>
      <c r="F119" s="164"/>
      <c r="G119" s="164"/>
      <c r="H119" s="164"/>
      <c r="N119" s="22"/>
      <c r="O119" s="22"/>
      <c r="P119" s="22"/>
      <c r="Q119" s="22"/>
    </row>
    <row r="120" spans="2:26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26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26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26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26" ht="13.5" customHeight="1" x14ac:dyDescent="0.3">
      <c r="B124" s="249"/>
      <c r="C124" s="249"/>
      <c r="D124" s="249"/>
      <c r="E124" s="249"/>
      <c r="F124" s="249"/>
      <c r="G124" s="249"/>
      <c r="H124" s="249"/>
    </row>
    <row r="125" spans="2:26" ht="13.5" customHeight="1" x14ac:dyDescent="0.3">
      <c r="B125" s="249"/>
      <c r="C125" s="249"/>
      <c r="D125" s="249"/>
      <c r="E125" s="249"/>
      <c r="F125" s="249"/>
      <c r="G125" s="249"/>
      <c r="H125" s="249"/>
    </row>
    <row r="126" spans="2:26" ht="13.5" customHeight="1" x14ac:dyDescent="0.3">
      <c r="B126" s="249"/>
      <c r="C126" s="249"/>
      <c r="D126" s="249"/>
      <c r="E126" s="249"/>
      <c r="F126" s="249"/>
      <c r="G126" s="249"/>
      <c r="H126" s="249"/>
    </row>
    <row r="127" spans="2:26" ht="13.5" customHeight="1" x14ac:dyDescent="0.3">
      <c r="B127" s="249"/>
      <c r="C127" s="249"/>
      <c r="D127" s="249"/>
      <c r="E127" s="249"/>
      <c r="F127" s="249"/>
      <c r="G127" s="249"/>
      <c r="H127" s="249"/>
    </row>
    <row r="128" spans="2:26" ht="13.5" customHeight="1" x14ac:dyDescent="0.3">
      <c r="B128" s="249"/>
      <c r="C128" s="249"/>
      <c r="D128" s="249"/>
      <c r="E128" s="249"/>
      <c r="F128" s="249"/>
      <c r="G128" s="249"/>
      <c r="H128" s="249"/>
    </row>
    <row r="129" spans="2:8" ht="13.5" customHeight="1" x14ac:dyDescent="0.3">
      <c r="B129" s="249"/>
      <c r="C129" s="249"/>
      <c r="D129" s="249"/>
      <c r="E129" s="249"/>
      <c r="F129" s="249"/>
      <c r="G129" s="249"/>
      <c r="H129" s="249"/>
    </row>
    <row r="130" spans="2:8" ht="13.5" customHeight="1" x14ac:dyDescent="0.3">
      <c r="B130" s="249"/>
      <c r="C130" s="249"/>
      <c r="D130" s="249"/>
      <c r="E130" s="249"/>
      <c r="F130" s="249"/>
      <c r="G130" s="249"/>
      <c r="H130" s="249"/>
    </row>
    <row r="131" spans="2:8" ht="13.5" customHeight="1" x14ac:dyDescent="0.3">
      <c r="B131" s="249"/>
      <c r="C131" s="249"/>
      <c r="D131" s="249"/>
      <c r="E131" s="249"/>
      <c r="F131" s="249"/>
      <c r="G131" s="249"/>
      <c r="H131" s="249"/>
    </row>
    <row r="132" spans="2:8" ht="13.5" customHeight="1" x14ac:dyDescent="0.3">
      <c r="B132" s="249"/>
      <c r="C132" s="249"/>
      <c r="D132" s="249"/>
      <c r="E132" s="249"/>
      <c r="F132" s="249"/>
      <c r="G132" s="249"/>
      <c r="H132" s="249"/>
    </row>
    <row r="133" spans="2:8" ht="13.5" customHeight="1" x14ac:dyDescent="0.3">
      <c r="B133" s="249"/>
      <c r="C133" s="249"/>
      <c r="D133" s="249"/>
      <c r="E133" s="249"/>
      <c r="F133" s="249"/>
      <c r="G133" s="249"/>
      <c r="H133" s="249"/>
    </row>
    <row r="134" spans="2:8" ht="13.5" customHeight="1" x14ac:dyDescent="0.3">
      <c r="B134" s="249"/>
      <c r="C134" s="249"/>
      <c r="D134" s="249"/>
      <c r="E134" s="249"/>
      <c r="F134" s="249"/>
      <c r="G134" s="249"/>
      <c r="H134" s="249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/>
      <c r="C173" s="164"/>
      <c r="D173" s="164"/>
      <c r="E173" s="164"/>
      <c r="F173" s="164"/>
      <c r="G173" s="164"/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>
        <v>0</v>
      </c>
      <c r="C177" s="164">
        <v>0</v>
      </c>
      <c r="D177" s="164">
        <v>0</v>
      </c>
      <c r="E177" s="164">
        <v>0</v>
      </c>
      <c r="F177" s="164">
        <v>0</v>
      </c>
      <c r="G177" s="164">
        <v>0</v>
      </c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  <row r="191" spans="2:8" ht="13.5" customHeight="1" x14ac:dyDescent="0.25">
      <c r="B191" s="164"/>
      <c r="C191" s="164"/>
      <c r="D191" s="164"/>
      <c r="E191" s="164"/>
      <c r="F191" s="164"/>
      <c r="G191" s="164"/>
      <c r="H191" s="164"/>
    </row>
  </sheetData>
  <mergeCells count="4">
    <mergeCell ref="A103:G104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2"/>
  <sheetViews>
    <sheetView showGridLines="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J54" sqref="J54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54296875" style="1" customWidth="1"/>
    <col min="17" max="16384" width="9.1796875" style="1"/>
  </cols>
  <sheetData>
    <row r="1" spans="1:27" ht="15.75" customHeight="1" x14ac:dyDescent="0.25">
      <c r="A1" s="4" t="s">
        <v>100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1" t="s">
        <v>2</v>
      </c>
      <c r="C3" s="165" t="s">
        <v>3</v>
      </c>
      <c r="D3" s="425" t="s">
        <v>4</v>
      </c>
      <c r="E3" s="426"/>
      <c r="F3" s="426"/>
      <c r="G3" s="426"/>
      <c r="H3" s="427"/>
    </row>
    <row r="4" spans="1:27" ht="14.25" customHeight="1" thickBot="1" x14ac:dyDescent="0.3">
      <c r="A4" s="12"/>
      <c r="B4" s="166">
        <v>2024</v>
      </c>
      <c r="C4" s="167">
        <v>2025</v>
      </c>
      <c r="D4" s="300">
        <v>2026</v>
      </c>
      <c r="E4" s="301">
        <v>2027</v>
      </c>
      <c r="F4" s="301">
        <v>2028</v>
      </c>
      <c r="G4" s="307">
        <v>2029</v>
      </c>
      <c r="H4" s="302">
        <v>2030</v>
      </c>
    </row>
    <row r="5" spans="1:27" ht="13.5" customHeight="1" x14ac:dyDescent="0.25">
      <c r="A5" s="16" t="s">
        <v>5</v>
      </c>
      <c r="B5" s="169">
        <f>B6+B12+B17+B16</f>
        <v>8725857.9045800008</v>
      </c>
      <c r="C5" s="66">
        <f t="shared" ref="C5:H5" si="0">C6+C12+C17+C16</f>
        <v>9250193.0703899991</v>
      </c>
      <c r="D5" s="169">
        <f t="shared" si="0"/>
        <v>9876146</v>
      </c>
      <c r="E5" s="70">
        <f t="shared" si="0"/>
        <v>10221071</v>
      </c>
      <c r="F5" s="70">
        <f t="shared" si="0"/>
        <v>10704352</v>
      </c>
      <c r="G5" s="308">
        <f t="shared" si="0"/>
        <v>11360212</v>
      </c>
      <c r="H5" s="303">
        <f t="shared" si="0"/>
        <v>11864296</v>
      </c>
      <c r="I5" s="184"/>
      <c r="J5" s="132"/>
      <c r="K5" s="164"/>
      <c r="L5" s="164"/>
      <c r="M5" s="164"/>
      <c r="N5" s="164"/>
      <c r="O5" s="164"/>
      <c r="P5" s="164"/>
      <c r="Q5" s="164"/>
      <c r="R5" s="164"/>
      <c r="S5" s="419"/>
      <c r="T5" s="419"/>
      <c r="U5" s="419"/>
      <c r="V5" s="419"/>
      <c r="W5" s="419"/>
      <c r="X5" s="419"/>
      <c r="Y5" s="419"/>
      <c r="Z5" s="419"/>
      <c r="AA5" s="22"/>
    </row>
    <row r="6" spans="1:27" ht="13.5" customHeight="1" x14ac:dyDescent="0.25">
      <c r="A6" s="24" t="s">
        <v>7</v>
      </c>
      <c r="B6" s="170">
        <f t="shared" ref="B6:H6" si="1">B7+B8</f>
        <v>3445616.3605499999</v>
      </c>
      <c r="C6" s="26">
        <f t="shared" si="1"/>
        <v>4108117.9701699996</v>
      </c>
      <c r="D6" s="170">
        <f t="shared" si="1"/>
        <v>4574026</v>
      </c>
      <c r="E6" s="28">
        <f t="shared" si="1"/>
        <v>4801301</v>
      </c>
      <c r="F6" s="28">
        <f t="shared" si="1"/>
        <v>5071686</v>
      </c>
      <c r="G6" s="55">
        <f t="shared" si="1"/>
        <v>5345975</v>
      </c>
      <c r="H6" s="291">
        <f t="shared" si="1"/>
        <v>5641587</v>
      </c>
      <c r="I6" s="184"/>
      <c r="J6" s="132"/>
      <c r="K6" s="164"/>
      <c r="L6" s="164"/>
      <c r="M6" s="164"/>
      <c r="N6" s="164"/>
      <c r="O6" s="164"/>
      <c r="P6" s="164"/>
      <c r="Q6" s="164"/>
      <c r="R6" s="419"/>
      <c r="S6" s="419"/>
      <c r="T6" s="419"/>
      <c r="U6" s="419"/>
      <c r="V6" s="419"/>
      <c r="W6" s="419"/>
      <c r="X6" s="419"/>
    </row>
    <row r="7" spans="1:27" ht="13.5" customHeight="1" x14ac:dyDescent="0.25">
      <c r="A7" s="29" t="s">
        <v>8</v>
      </c>
      <c r="B7" s="240">
        <v>3574287.60158</v>
      </c>
      <c r="C7" s="241">
        <v>4271511.4329899997</v>
      </c>
      <c r="D7" s="240">
        <v>4621099</v>
      </c>
      <c r="E7" s="242">
        <v>4822374</v>
      </c>
      <c r="F7" s="242">
        <v>5096191</v>
      </c>
      <c r="G7" s="244">
        <v>5366278</v>
      </c>
      <c r="H7" s="405">
        <v>5661161</v>
      </c>
      <c r="I7" s="184"/>
      <c r="J7" s="132"/>
      <c r="K7" s="164"/>
      <c r="L7" s="164"/>
      <c r="M7" s="164"/>
      <c r="N7" s="164"/>
      <c r="O7" s="164"/>
      <c r="P7" s="164"/>
      <c r="Q7" s="164"/>
      <c r="R7" s="419"/>
      <c r="S7" s="419"/>
      <c r="T7" s="419"/>
      <c r="U7" s="419"/>
      <c r="V7" s="419"/>
      <c r="W7" s="419"/>
      <c r="X7" s="419"/>
    </row>
    <row r="8" spans="1:27" ht="13.5" customHeight="1" x14ac:dyDescent="0.25">
      <c r="A8" s="29" t="s">
        <v>9</v>
      </c>
      <c r="B8" s="240">
        <v>-128671.24103</v>
      </c>
      <c r="C8" s="241">
        <v>-163393.46282000002</v>
      </c>
      <c r="D8" s="240">
        <v>-47073</v>
      </c>
      <c r="E8" s="242">
        <v>-21073</v>
      </c>
      <c r="F8" s="242">
        <v>-24505</v>
      </c>
      <c r="G8" s="244">
        <v>-20303</v>
      </c>
      <c r="H8" s="405">
        <v>-19574</v>
      </c>
      <c r="I8" s="184"/>
      <c r="J8" s="132"/>
      <c r="K8" s="164"/>
      <c r="L8" s="164"/>
      <c r="M8" s="164"/>
      <c r="N8" s="164"/>
      <c r="O8" s="164"/>
      <c r="P8" s="164"/>
      <c r="Q8" s="164"/>
      <c r="R8" s="419"/>
      <c r="S8" s="419"/>
      <c r="T8" s="419"/>
      <c r="U8" s="419"/>
      <c r="V8" s="419"/>
      <c r="W8" s="419"/>
      <c r="X8" s="419"/>
    </row>
    <row r="9" spans="1:27" ht="13.5" customHeight="1" x14ac:dyDescent="0.25">
      <c r="A9" s="36" t="s">
        <v>10</v>
      </c>
      <c r="B9" s="240">
        <f t="shared" ref="B9:H9" si="2">+B7+B8-B10-B11</f>
        <v>-1612.4551400005585</v>
      </c>
      <c r="C9" s="241">
        <f t="shared" si="2"/>
        <v>674123.21343999961</v>
      </c>
      <c r="D9" s="243">
        <f t="shared" si="2"/>
        <v>809934</v>
      </c>
      <c r="E9" s="244">
        <f t="shared" si="2"/>
        <v>834365</v>
      </c>
      <c r="F9" s="242">
        <f t="shared" si="2"/>
        <v>909293</v>
      </c>
      <c r="G9" s="244">
        <f t="shared" si="2"/>
        <v>945870</v>
      </c>
      <c r="H9" s="405">
        <f t="shared" si="2"/>
        <v>1001058</v>
      </c>
      <c r="I9" s="184"/>
      <c r="J9" s="132"/>
      <c r="K9" s="164"/>
      <c r="L9" s="164"/>
      <c r="M9" s="164"/>
      <c r="N9" s="164"/>
      <c r="O9" s="164"/>
      <c r="P9" s="164"/>
      <c r="Q9" s="164"/>
      <c r="R9" s="419"/>
      <c r="S9" s="419"/>
      <c r="T9" s="419"/>
      <c r="U9" s="419"/>
      <c r="V9" s="419"/>
      <c r="W9" s="419"/>
      <c r="X9" s="419"/>
    </row>
    <row r="10" spans="1:27" ht="13.5" customHeight="1" x14ac:dyDescent="0.25">
      <c r="A10" s="36" t="s">
        <v>11</v>
      </c>
      <c r="B10" s="240">
        <v>2413060.1910800003</v>
      </c>
      <c r="C10" s="241">
        <v>2237621.0570100001</v>
      </c>
      <c r="D10" s="240">
        <v>2444928</v>
      </c>
      <c r="E10" s="242">
        <v>2554823</v>
      </c>
      <c r="F10" s="242">
        <v>2680520</v>
      </c>
      <c r="G10" s="244">
        <v>2833604</v>
      </c>
      <c r="H10" s="405">
        <v>2988433</v>
      </c>
      <c r="I10" s="184"/>
      <c r="J10" s="132"/>
      <c r="K10" s="164"/>
      <c r="L10" s="164"/>
      <c r="M10" s="164"/>
      <c r="N10" s="164"/>
      <c r="O10" s="164"/>
      <c r="P10" s="164"/>
      <c r="Q10" s="164"/>
      <c r="R10" s="419"/>
      <c r="S10" s="419"/>
      <c r="T10" s="419"/>
      <c r="U10" s="419"/>
      <c r="V10" s="419"/>
      <c r="W10" s="419"/>
      <c r="X10" s="419"/>
    </row>
    <row r="11" spans="1:27" ht="13.5" customHeight="1" x14ac:dyDescent="0.25">
      <c r="A11" s="36" t="s">
        <v>12</v>
      </c>
      <c r="B11" s="240">
        <v>1034168.6246100002</v>
      </c>
      <c r="C11" s="241">
        <v>1196373.6997199999</v>
      </c>
      <c r="D11" s="240">
        <v>1319164</v>
      </c>
      <c r="E11" s="242">
        <v>1412113</v>
      </c>
      <c r="F11" s="242">
        <v>1481873</v>
      </c>
      <c r="G11" s="244">
        <v>1566501</v>
      </c>
      <c r="H11" s="405">
        <v>1652096</v>
      </c>
      <c r="I11" s="184"/>
      <c r="J11" s="132"/>
      <c r="K11" s="164"/>
      <c r="L11" s="164"/>
      <c r="M11" s="164"/>
      <c r="N11" s="164"/>
      <c r="O11" s="164"/>
      <c r="P11" s="164"/>
      <c r="Q11" s="164"/>
      <c r="R11" s="419"/>
      <c r="S11" s="419"/>
      <c r="T11" s="419"/>
      <c r="U11" s="419"/>
      <c r="V11" s="419"/>
      <c r="W11" s="419"/>
      <c r="X11" s="419"/>
    </row>
    <row r="12" spans="1:27" ht="13.5" customHeight="1" x14ac:dyDescent="0.25">
      <c r="A12" s="24" t="s">
        <v>14</v>
      </c>
      <c r="B12" s="240">
        <v>4751091.0538700009</v>
      </c>
      <c r="C12" s="241">
        <v>4592424.3564799996</v>
      </c>
      <c r="D12" s="240">
        <v>4723772</v>
      </c>
      <c r="E12" s="242">
        <v>4791732</v>
      </c>
      <c r="F12" s="242">
        <v>4995639</v>
      </c>
      <c r="G12" s="244">
        <v>5364952</v>
      </c>
      <c r="H12" s="405">
        <v>5580710</v>
      </c>
      <c r="I12" s="184"/>
      <c r="J12" s="132"/>
      <c r="K12" s="164"/>
      <c r="L12" s="164"/>
      <c r="M12" s="164"/>
      <c r="N12" s="164"/>
      <c r="O12" s="164"/>
      <c r="P12" s="164"/>
      <c r="Q12" s="164"/>
      <c r="R12" s="419"/>
      <c r="S12" s="419"/>
      <c r="T12" s="419"/>
      <c r="U12" s="419"/>
      <c r="V12" s="419"/>
      <c r="W12" s="419"/>
      <c r="X12" s="419"/>
    </row>
    <row r="13" spans="1:27" ht="13.5" customHeight="1" x14ac:dyDescent="0.25">
      <c r="A13" s="29" t="s">
        <v>10</v>
      </c>
      <c r="B13" s="240">
        <f t="shared" ref="B13:H13" si="3">+B12-B14-B15</f>
        <v>4413168.0538700009</v>
      </c>
      <c r="C13" s="241">
        <f t="shared" si="3"/>
        <v>4592424.3564799996</v>
      </c>
      <c r="D13" s="240">
        <f t="shared" si="3"/>
        <v>4723772</v>
      </c>
      <c r="E13" s="242">
        <f t="shared" si="3"/>
        <v>4791732</v>
      </c>
      <c r="F13" s="242">
        <f t="shared" si="3"/>
        <v>4995639</v>
      </c>
      <c r="G13" s="244">
        <f t="shared" si="3"/>
        <v>5364952</v>
      </c>
      <c r="H13" s="405">
        <f t="shared" si="3"/>
        <v>5580710</v>
      </c>
      <c r="I13" s="184"/>
      <c r="J13" s="132"/>
      <c r="K13" s="164"/>
      <c r="L13" s="164"/>
      <c r="M13" s="164"/>
      <c r="N13" s="164"/>
      <c r="O13" s="164"/>
      <c r="P13" s="164"/>
      <c r="Q13" s="164"/>
      <c r="R13" s="419"/>
      <c r="S13" s="419"/>
      <c r="T13" s="419"/>
      <c r="U13" s="419"/>
      <c r="V13" s="419"/>
      <c r="W13" s="419"/>
      <c r="X13" s="419"/>
    </row>
    <row r="14" spans="1:27" ht="13.5" customHeight="1" x14ac:dyDescent="0.25">
      <c r="A14" s="29" t="s">
        <v>11</v>
      </c>
      <c r="B14" s="240">
        <v>236546</v>
      </c>
      <c r="C14" s="241">
        <v>0</v>
      </c>
      <c r="D14" s="240">
        <v>0</v>
      </c>
      <c r="E14" s="242">
        <v>0</v>
      </c>
      <c r="F14" s="242">
        <v>0</v>
      </c>
      <c r="G14" s="244">
        <v>0</v>
      </c>
      <c r="H14" s="405">
        <v>0</v>
      </c>
      <c r="I14" s="184"/>
      <c r="J14" s="132"/>
      <c r="K14" s="164"/>
      <c r="L14" s="164"/>
      <c r="M14" s="164"/>
      <c r="N14" s="164"/>
      <c r="O14" s="164"/>
      <c r="P14" s="164"/>
      <c r="Q14" s="164"/>
      <c r="R14" s="419"/>
      <c r="S14" s="419"/>
      <c r="T14" s="419"/>
      <c r="U14" s="419"/>
      <c r="V14" s="419"/>
      <c r="W14" s="419"/>
      <c r="X14" s="419"/>
    </row>
    <row r="15" spans="1:27" ht="13.5" customHeight="1" x14ac:dyDescent="0.25">
      <c r="A15" s="29" t="s">
        <v>12</v>
      </c>
      <c r="B15" s="240">
        <v>101377</v>
      </c>
      <c r="C15" s="241">
        <v>0</v>
      </c>
      <c r="D15" s="240">
        <v>0</v>
      </c>
      <c r="E15" s="242">
        <v>0</v>
      </c>
      <c r="F15" s="242">
        <v>0</v>
      </c>
      <c r="G15" s="244">
        <v>0</v>
      </c>
      <c r="H15" s="405">
        <v>0</v>
      </c>
      <c r="I15" s="184"/>
      <c r="J15" s="132"/>
      <c r="K15" s="164"/>
      <c r="L15" s="164"/>
      <c r="M15" s="164"/>
      <c r="N15" s="164"/>
      <c r="O15" s="164"/>
      <c r="P15" s="164"/>
      <c r="Q15" s="164"/>
      <c r="R15" s="419"/>
      <c r="S15" s="419"/>
      <c r="T15" s="419"/>
      <c r="U15" s="419"/>
      <c r="V15" s="419"/>
      <c r="W15" s="419"/>
      <c r="X15" s="419"/>
    </row>
    <row r="16" spans="1:27" ht="13.5" customHeight="1" x14ac:dyDescent="0.25">
      <c r="A16" s="24" t="s">
        <v>95</v>
      </c>
      <c r="B16" s="240">
        <v>0</v>
      </c>
      <c r="C16" s="241">
        <v>0</v>
      </c>
      <c r="D16" s="240">
        <v>48500</v>
      </c>
      <c r="E16" s="242">
        <v>48500</v>
      </c>
      <c r="F16" s="242">
        <v>48500</v>
      </c>
      <c r="G16" s="244">
        <v>48500</v>
      </c>
      <c r="H16" s="405">
        <v>48500</v>
      </c>
      <c r="I16" s="184"/>
      <c r="J16" s="132"/>
      <c r="K16" s="164"/>
      <c r="L16" s="164"/>
      <c r="M16" s="164"/>
      <c r="N16" s="164"/>
      <c r="O16" s="164"/>
      <c r="P16" s="164"/>
      <c r="Q16" s="164"/>
      <c r="R16" s="419"/>
      <c r="S16" s="419"/>
      <c r="T16" s="419"/>
      <c r="U16" s="419"/>
      <c r="V16" s="419"/>
      <c r="W16" s="419"/>
      <c r="X16" s="419"/>
    </row>
    <row r="17" spans="1:24" ht="13.5" customHeight="1" x14ac:dyDescent="0.25">
      <c r="A17" s="24" t="s">
        <v>15</v>
      </c>
      <c r="B17" s="240">
        <v>529150.49016000004</v>
      </c>
      <c r="C17" s="241">
        <v>549650.74373999995</v>
      </c>
      <c r="D17" s="240">
        <v>529848</v>
      </c>
      <c r="E17" s="242">
        <v>579538</v>
      </c>
      <c r="F17" s="242">
        <v>588527</v>
      </c>
      <c r="G17" s="244">
        <v>600785</v>
      </c>
      <c r="H17" s="405">
        <v>593499</v>
      </c>
      <c r="I17" s="184"/>
      <c r="J17" s="132"/>
      <c r="K17" s="164"/>
      <c r="L17" s="164"/>
      <c r="M17" s="164"/>
      <c r="N17" s="164"/>
      <c r="O17" s="164"/>
      <c r="P17" s="164"/>
      <c r="Q17" s="164"/>
      <c r="R17" s="419"/>
      <c r="S17" s="419"/>
      <c r="T17" s="419"/>
      <c r="U17" s="419"/>
      <c r="V17" s="419"/>
      <c r="W17" s="419"/>
      <c r="X17" s="419"/>
    </row>
    <row r="18" spans="1:24" ht="13.5" customHeight="1" x14ac:dyDescent="0.25">
      <c r="A18" s="41" t="s">
        <v>16</v>
      </c>
      <c r="B18" s="171">
        <f t="shared" ref="B18:H18" si="4">B19+B20</f>
        <v>12516536.887379998</v>
      </c>
      <c r="C18" s="43">
        <f t="shared" si="4"/>
        <v>13458696.491380002</v>
      </c>
      <c r="D18" s="171">
        <f t="shared" si="4"/>
        <v>14483972</v>
      </c>
      <c r="E18" s="45">
        <f t="shared" si="4"/>
        <v>14371627</v>
      </c>
      <c r="F18" s="45">
        <f t="shared" si="4"/>
        <v>15124128</v>
      </c>
      <c r="G18" s="282">
        <f t="shared" si="4"/>
        <v>15776909</v>
      </c>
      <c r="H18" s="292">
        <f t="shared" si="4"/>
        <v>16374231</v>
      </c>
      <c r="I18" s="184"/>
      <c r="J18" s="132"/>
      <c r="K18" s="164"/>
      <c r="L18" s="164"/>
      <c r="M18" s="164"/>
      <c r="N18" s="164"/>
      <c r="O18" s="164"/>
      <c r="P18" s="164"/>
      <c r="Q18" s="164"/>
      <c r="R18" s="419"/>
      <c r="S18" s="419"/>
      <c r="T18" s="419"/>
      <c r="U18" s="419"/>
      <c r="V18" s="419"/>
      <c r="W18" s="419"/>
      <c r="X18" s="419"/>
    </row>
    <row r="19" spans="1:24" ht="13.5" customHeight="1" x14ac:dyDescent="0.25">
      <c r="A19" s="24" t="s">
        <v>17</v>
      </c>
      <c r="B19" s="170">
        <v>9815372.1298299991</v>
      </c>
      <c r="C19" s="26">
        <v>10698922.302070003</v>
      </c>
      <c r="D19" s="170">
        <v>11604188</v>
      </c>
      <c r="E19" s="28">
        <v>11468151</v>
      </c>
      <c r="F19" s="28">
        <v>12122644</v>
      </c>
      <c r="G19" s="55">
        <v>12702749</v>
      </c>
      <c r="H19" s="291">
        <v>13263318</v>
      </c>
      <c r="I19" s="184"/>
      <c r="J19" s="132"/>
      <c r="K19" s="164"/>
      <c r="L19" s="164"/>
      <c r="M19" s="164"/>
      <c r="N19" s="164"/>
      <c r="O19" s="164"/>
      <c r="P19" s="164"/>
      <c r="Q19" s="164"/>
      <c r="R19" s="419"/>
      <c r="S19" s="419"/>
      <c r="T19" s="419"/>
      <c r="U19" s="419"/>
      <c r="V19" s="419"/>
      <c r="W19" s="419"/>
      <c r="X19" s="419"/>
    </row>
    <row r="20" spans="1:24" ht="13.5" customHeight="1" x14ac:dyDescent="0.25">
      <c r="A20" s="24" t="s">
        <v>18</v>
      </c>
      <c r="B20" s="170">
        <f>SUM(B21:B29)</f>
        <v>2701164.7575499997</v>
      </c>
      <c r="C20" s="241">
        <f t="shared" ref="C20:H20" si="5">SUM(C21:C29)</f>
        <v>2759774.1893100003</v>
      </c>
      <c r="D20" s="240">
        <f t="shared" si="5"/>
        <v>2879784</v>
      </c>
      <c r="E20" s="242">
        <f t="shared" si="5"/>
        <v>2903476</v>
      </c>
      <c r="F20" s="242">
        <f t="shared" si="5"/>
        <v>3001484</v>
      </c>
      <c r="G20" s="244">
        <f t="shared" si="5"/>
        <v>3074160</v>
      </c>
      <c r="H20" s="405">
        <f t="shared" si="5"/>
        <v>3110913</v>
      </c>
      <c r="I20" s="184"/>
      <c r="J20" s="132"/>
      <c r="K20" s="164"/>
      <c r="L20" s="164"/>
      <c r="M20" s="164"/>
      <c r="N20" s="164"/>
      <c r="O20" s="164"/>
      <c r="P20" s="164"/>
      <c r="Q20" s="164"/>
      <c r="R20" s="419"/>
      <c r="S20" s="419"/>
      <c r="T20" s="419"/>
      <c r="U20" s="419"/>
      <c r="V20" s="419"/>
      <c r="W20" s="419"/>
      <c r="X20" s="419"/>
    </row>
    <row r="21" spans="1:24" ht="13.5" customHeight="1" x14ac:dyDescent="0.25">
      <c r="A21" s="29" t="s">
        <v>19</v>
      </c>
      <c r="B21" s="240">
        <v>1349684.3716100003</v>
      </c>
      <c r="C21" s="241">
        <v>1352719.1623800003</v>
      </c>
      <c r="D21" s="240">
        <v>1391078</v>
      </c>
      <c r="E21" s="242">
        <v>1381914</v>
      </c>
      <c r="F21" s="242">
        <v>1404550</v>
      </c>
      <c r="G21" s="244">
        <v>1436385</v>
      </c>
      <c r="H21" s="405">
        <v>1466140</v>
      </c>
      <c r="I21" s="184"/>
      <c r="J21" s="132"/>
      <c r="K21" s="164"/>
      <c r="L21" s="164"/>
      <c r="M21" s="164"/>
      <c r="N21" s="164"/>
      <c r="O21" s="164"/>
      <c r="P21" s="164"/>
      <c r="Q21" s="164"/>
      <c r="R21" s="419"/>
      <c r="S21" s="419"/>
      <c r="T21" s="419"/>
      <c r="U21" s="419"/>
      <c r="V21" s="419"/>
      <c r="W21" s="419"/>
      <c r="X21" s="419"/>
    </row>
    <row r="22" spans="1:24" ht="13.5" customHeight="1" x14ac:dyDescent="0.25">
      <c r="A22" s="29" t="s">
        <v>20</v>
      </c>
      <c r="B22" s="240">
        <v>257587.25940000004</v>
      </c>
      <c r="C22" s="241">
        <v>245547.09922000003</v>
      </c>
      <c r="D22" s="240">
        <v>242338</v>
      </c>
      <c r="E22" s="242">
        <v>241459</v>
      </c>
      <c r="F22" s="242">
        <v>240404</v>
      </c>
      <c r="G22" s="244">
        <v>240832</v>
      </c>
      <c r="H22" s="405">
        <v>242407</v>
      </c>
      <c r="I22" s="184"/>
      <c r="J22" s="132"/>
      <c r="K22" s="164"/>
      <c r="L22" s="164"/>
      <c r="M22" s="164"/>
      <c r="N22" s="164"/>
      <c r="O22" s="164"/>
      <c r="P22" s="164"/>
      <c r="Q22" s="164"/>
      <c r="R22" s="419"/>
      <c r="S22" s="419"/>
      <c r="T22" s="419"/>
      <c r="U22" s="419"/>
      <c r="V22" s="419"/>
      <c r="W22" s="419"/>
      <c r="X22" s="419"/>
    </row>
    <row r="23" spans="1:24" ht="13.5" customHeight="1" x14ac:dyDescent="0.25">
      <c r="A23" s="29" t="s">
        <v>21</v>
      </c>
      <c r="B23" s="240">
        <v>55966.033739999992</v>
      </c>
      <c r="C23" s="241">
        <v>52664.265249999997</v>
      </c>
      <c r="D23" s="240">
        <v>52808</v>
      </c>
      <c r="E23" s="242">
        <v>52253</v>
      </c>
      <c r="F23" s="242">
        <v>51955</v>
      </c>
      <c r="G23" s="244">
        <v>52005</v>
      </c>
      <c r="H23" s="405">
        <v>52296</v>
      </c>
      <c r="I23" s="184"/>
      <c r="J23" s="132"/>
      <c r="K23" s="164"/>
      <c r="L23" s="164"/>
      <c r="M23" s="164"/>
      <c r="N23" s="164"/>
      <c r="O23" s="164"/>
      <c r="P23" s="164"/>
      <c r="Q23" s="164"/>
      <c r="R23" s="419"/>
      <c r="S23" s="419"/>
      <c r="T23" s="419"/>
      <c r="U23" s="419"/>
      <c r="V23" s="419"/>
      <c r="W23" s="419"/>
      <c r="X23" s="419"/>
    </row>
    <row r="24" spans="1:24" ht="13.5" customHeight="1" x14ac:dyDescent="0.25">
      <c r="A24" s="29" t="s">
        <v>22</v>
      </c>
      <c r="B24" s="240">
        <v>4945.4926099999993</v>
      </c>
      <c r="C24" s="241">
        <v>4746.4100100000005</v>
      </c>
      <c r="D24" s="240">
        <v>4765</v>
      </c>
      <c r="E24" s="242">
        <v>4713</v>
      </c>
      <c r="F24" s="242">
        <v>4693</v>
      </c>
      <c r="G24" s="244">
        <v>4683</v>
      </c>
      <c r="H24" s="405">
        <v>4697</v>
      </c>
      <c r="I24" s="184"/>
      <c r="J24" s="132"/>
      <c r="K24" s="164"/>
      <c r="L24" s="164"/>
      <c r="M24" s="164"/>
      <c r="N24" s="164"/>
      <c r="O24" s="164"/>
      <c r="P24" s="164"/>
      <c r="Q24" s="164"/>
      <c r="R24" s="419"/>
      <c r="S24" s="419"/>
      <c r="T24" s="419"/>
      <c r="U24" s="419"/>
      <c r="V24" s="419"/>
      <c r="W24" s="419"/>
      <c r="X24" s="419"/>
    </row>
    <row r="25" spans="1:24" ht="13.5" customHeight="1" x14ac:dyDescent="0.25">
      <c r="A25" s="29" t="s">
        <v>23</v>
      </c>
      <c r="B25" s="240">
        <v>998933.31411999976</v>
      </c>
      <c r="C25" s="241">
        <v>981635.46433999995</v>
      </c>
      <c r="D25" s="240">
        <v>1056984</v>
      </c>
      <c r="E25" s="242">
        <v>1092980</v>
      </c>
      <c r="F25" s="242">
        <v>1168381</v>
      </c>
      <c r="G25" s="244">
        <v>1206547</v>
      </c>
      <c r="H25" s="405">
        <v>1208782</v>
      </c>
      <c r="I25" s="184"/>
      <c r="J25" s="132"/>
      <c r="K25" s="164"/>
      <c r="L25" s="164"/>
      <c r="M25" s="164"/>
      <c r="N25" s="164"/>
      <c r="O25" s="164"/>
      <c r="P25" s="164"/>
      <c r="Q25" s="164"/>
      <c r="R25" s="419"/>
      <c r="S25" s="419"/>
      <c r="T25" s="419"/>
      <c r="U25" s="419"/>
      <c r="V25" s="419"/>
      <c r="W25" s="419"/>
      <c r="X25" s="419"/>
    </row>
    <row r="26" spans="1:24" ht="13.5" customHeight="1" x14ac:dyDescent="0.25">
      <c r="A26" s="29" t="s">
        <v>24</v>
      </c>
      <c r="B26" s="240">
        <v>12705.131029999999</v>
      </c>
      <c r="C26" s="241">
        <v>11612.947300000002</v>
      </c>
      <c r="D26" s="240">
        <v>11112</v>
      </c>
      <c r="E26" s="242">
        <v>8735</v>
      </c>
      <c r="F26" s="242">
        <v>8806</v>
      </c>
      <c r="G26" s="244">
        <v>8932</v>
      </c>
      <c r="H26" s="405">
        <v>9100</v>
      </c>
      <c r="I26" s="184"/>
      <c r="J26" s="132"/>
      <c r="K26" s="164"/>
      <c r="L26" s="164"/>
      <c r="M26" s="164"/>
      <c r="N26" s="164"/>
      <c r="O26" s="164"/>
      <c r="P26" s="164"/>
      <c r="Q26" s="164"/>
      <c r="R26" s="419"/>
      <c r="S26" s="419"/>
      <c r="T26" s="419"/>
      <c r="U26" s="419"/>
      <c r="V26" s="419"/>
      <c r="W26" s="419"/>
      <c r="X26" s="419"/>
    </row>
    <row r="27" spans="1:24" ht="13.5" customHeight="1" x14ac:dyDescent="0.25">
      <c r="A27" s="29" t="s">
        <v>25</v>
      </c>
      <c r="B27" s="240">
        <v>21152.278600000005</v>
      </c>
      <c r="C27" s="241">
        <v>20909.642760000002</v>
      </c>
      <c r="D27" s="240">
        <v>21002</v>
      </c>
      <c r="E27" s="242">
        <v>21017</v>
      </c>
      <c r="F27" s="242">
        <v>21312</v>
      </c>
      <c r="G27" s="244">
        <v>21664</v>
      </c>
      <c r="H27" s="405">
        <v>22127</v>
      </c>
      <c r="I27" s="184"/>
      <c r="J27" s="132"/>
      <c r="K27" s="164"/>
      <c r="L27" s="164"/>
      <c r="M27" s="164"/>
      <c r="N27" s="164"/>
      <c r="O27" s="164"/>
      <c r="P27" s="164"/>
      <c r="Q27" s="164"/>
      <c r="R27" s="419"/>
      <c r="S27" s="419"/>
      <c r="T27" s="419"/>
      <c r="U27" s="419"/>
      <c r="V27" s="419"/>
      <c r="W27" s="419"/>
      <c r="X27" s="419"/>
    </row>
    <row r="28" spans="1:24" ht="13.5" customHeight="1" x14ac:dyDescent="0.25">
      <c r="A28" s="29" t="s">
        <v>26</v>
      </c>
      <c r="B28" s="240">
        <v>190.87644</v>
      </c>
      <c r="C28" s="241">
        <v>200.32991000000001</v>
      </c>
      <c r="D28" s="240">
        <v>230</v>
      </c>
      <c r="E28" s="242">
        <v>190</v>
      </c>
      <c r="F28" s="242">
        <v>170</v>
      </c>
      <c r="G28" s="244">
        <v>146</v>
      </c>
      <c r="H28" s="405">
        <v>125</v>
      </c>
      <c r="I28" s="184"/>
      <c r="J28" s="132"/>
      <c r="K28" s="164"/>
      <c r="L28" s="164"/>
      <c r="M28" s="164"/>
      <c r="N28" s="164"/>
      <c r="O28" s="164"/>
      <c r="P28" s="164"/>
      <c r="Q28" s="164"/>
      <c r="R28" s="419"/>
      <c r="S28" s="419"/>
      <c r="T28" s="419"/>
      <c r="U28" s="419"/>
      <c r="V28" s="419"/>
      <c r="W28" s="419"/>
      <c r="X28" s="419"/>
    </row>
    <row r="29" spans="1:24" ht="13.5" customHeight="1" x14ac:dyDescent="0.25">
      <c r="A29" s="29" t="s">
        <v>96</v>
      </c>
      <c r="B29" s="240">
        <v>0</v>
      </c>
      <c r="C29" s="241">
        <v>89738.868139999991</v>
      </c>
      <c r="D29" s="240">
        <v>99467</v>
      </c>
      <c r="E29" s="242">
        <v>100215</v>
      </c>
      <c r="F29" s="242">
        <v>101213</v>
      </c>
      <c r="G29" s="244">
        <v>102966</v>
      </c>
      <c r="H29" s="405">
        <v>105239</v>
      </c>
      <c r="I29" s="184"/>
      <c r="J29" s="132"/>
      <c r="K29" s="164"/>
      <c r="L29" s="164"/>
      <c r="M29" s="164"/>
      <c r="N29" s="164"/>
      <c r="O29" s="164"/>
      <c r="P29" s="164"/>
      <c r="Q29" s="164"/>
      <c r="R29" s="419"/>
      <c r="S29" s="419"/>
      <c r="T29" s="419"/>
      <c r="U29" s="419"/>
      <c r="V29" s="419"/>
      <c r="W29" s="419"/>
      <c r="X29" s="419"/>
    </row>
    <row r="30" spans="1:24" ht="13.5" customHeight="1" x14ac:dyDescent="0.25">
      <c r="A30" s="41" t="s">
        <v>27</v>
      </c>
      <c r="B30" s="171">
        <f t="shared" ref="B30:G30" si="6">SUM(B31:B34)</f>
        <v>36827.937919999997</v>
      </c>
      <c r="C30" s="43">
        <f t="shared" si="6"/>
        <v>45419.760730000002</v>
      </c>
      <c r="D30" s="171">
        <f t="shared" si="6"/>
        <v>41943</v>
      </c>
      <c r="E30" s="45">
        <f t="shared" si="6"/>
        <v>44581</v>
      </c>
      <c r="F30" s="45">
        <f t="shared" si="6"/>
        <v>46462</v>
      </c>
      <c r="G30" s="282">
        <f t="shared" si="6"/>
        <v>49161</v>
      </c>
      <c r="H30" s="292">
        <f t="shared" ref="H30" si="7">SUM(H31:H34)</f>
        <v>51964</v>
      </c>
      <c r="I30" s="184"/>
      <c r="J30" s="132"/>
      <c r="K30" s="164"/>
      <c r="L30" s="164"/>
      <c r="M30" s="164"/>
      <c r="N30" s="164"/>
      <c r="O30" s="164"/>
      <c r="P30" s="164"/>
      <c r="Q30" s="164"/>
      <c r="R30" s="419"/>
      <c r="S30" s="419"/>
      <c r="T30" s="419"/>
      <c r="U30" s="419"/>
      <c r="V30" s="419"/>
      <c r="W30" s="419"/>
      <c r="X30" s="419"/>
    </row>
    <row r="31" spans="1:24" ht="13.5" customHeight="1" x14ac:dyDescent="0.25">
      <c r="A31" s="24" t="s">
        <v>28</v>
      </c>
      <c r="B31" s="170">
        <v>14.2415</v>
      </c>
      <c r="C31" s="241">
        <v>49.694699999999997</v>
      </c>
      <c r="D31" s="240">
        <v>20</v>
      </c>
      <c r="E31" s="242">
        <v>0</v>
      </c>
      <c r="F31" s="242">
        <v>0</v>
      </c>
      <c r="G31" s="244">
        <v>0</v>
      </c>
      <c r="H31" s="405">
        <v>0</v>
      </c>
      <c r="I31" s="184"/>
      <c r="J31" s="132"/>
      <c r="K31" s="164"/>
      <c r="L31" s="164"/>
      <c r="M31" s="164"/>
      <c r="N31" s="164"/>
      <c r="O31" s="164"/>
      <c r="P31" s="164"/>
      <c r="Q31" s="164"/>
      <c r="R31" s="419"/>
      <c r="S31" s="419"/>
      <c r="T31" s="419"/>
      <c r="U31" s="419"/>
      <c r="V31" s="419"/>
      <c r="W31" s="419"/>
      <c r="X31" s="419"/>
    </row>
    <row r="32" spans="1:24" ht="13.5" customHeight="1" x14ac:dyDescent="0.25">
      <c r="A32" s="24" t="s">
        <v>29</v>
      </c>
      <c r="B32" s="170">
        <v>0</v>
      </c>
      <c r="C32" s="241">
        <v>0</v>
      </c>
      <c r="D32" s="240">
        <v>0</v>
      </c>
      <c r="E32" s="242">
        <v>0</v>
      </c>
      <c r="F32" s="242">
        <v>0</v>
      </c>
      <c r="G32" s="244">
        <v>0</v>
      </c>
      <c r="H32" s="405">
        <v>0</v>
      </c>
      <c r="I32" s="184"/>
      <c r="J32" s="132"/>
      <c r="K32" s="164"/>
      <c r="L32" s="164"/>
      <c r="M32" s="164"/>
      <c r="N32" s="164"/>
      <c r="O32" s="164"/>
      <c r="P32" s="164"/>
      <c r="Q32" s="164"/>
      <c r="R32" s="419"/>
      <c r="S32" s="419"/>
      <c r="T32" s="419"/>
      <c r="U32" s="419"/>
      <c r="V32" s="419"/>
      <c r="W32" s="419"/>
      <c r="X32" s="419"/>
    </row>
    <row r="33" spans="1:24" ht="13.5" customHeight="1" x14ac:dyDescent="0.25">
      <c r="A33" s="24" t="s">
        <v>30</v>
      </c>
      <c r="B33" s="172">
        <v>36813.69642</v>
      </c>
      <c r="C33" s="241">
        <v>45370.066030000002</v>
      </c>
      <c r="D33" s="240">
        <v>41923</v>
      </c>
      <c r="E33" s="242">
        <v>44581</v>
      </c>
      <c r="F33" s="242">
        <v>46462</v>
      </c>
      <c r="G33" s="244">
        <v>49161</v>
      </c>
      <c r="H33" s="405">
        <v>51964</v>
      </c>
      <c r="I33" s="184"/>
      <c r="J33" s="132"/>
      <c r="K33" s="164"/>
      <c r="L33" s="164"/>
      <c r="M33" s="164"/>
      <c r="N33" s="164"/>
      <c r="O33" s="164"/>
      <c r="P33" s="164"/>
      <c r="Q33" s="164"/>
      <c r="R33" s="419"/>
      <c r="S33" s="419"/>
      <c r="T33" s="419"/>
      <c r="U33" s="419"/>
      <c r="V33" s="419"/>
      <c r="W33" s="419"/>
      <c r="X33" s="419"/>
    </row>
    <row r="34" spans="1:24" ht="13.5" customHeight="1" x14ac:dyDescent="0.25">
      <c r="A34" s="24" t="s">
        <v>31</v>
      </c>
      <c r="B34" s="170">
        <v>0</v>
      </c>
      <c r="C34" s="241">
        <v>0</v>
      </c>
      <c r="D34" s="240">
        <v>0</v>
      </c>
      <c r="E34" s="242">
        <v>0</v>
      </c>
      <c r="F34" s="242">
        <v>0</v>
      </c>
      <c r="G34" s="244">
        <v>0</v>
      </c>
      <c r="H34" s="405">
        <v>0</v>
      </c>
      <c r="I34" s="184"/>
      <c r="J34" s="132"/>
      <c r="K34" s="164"/>
      <c r="L34" s="164"/>
      <c r="M34" s="164"/>
      <c r="N34" s="164"/>
      <c r="O34" s="164"/>
      <c r="P34" s="164"/>
      <c r="Q34" s="164"/>
      <c r="R34" s="419"/>
      <c r="S34" s="419"/>
      <c r="T34" s="419"/>
      <c r="U34" s="419"/>
      <c r="V34" s="419"/>
      <c r="W34" s="419"/>
      <c r="X34" s="419"/>
    </row>
    <row r="35" spans="1:24" ht="13.5" customHeight="1" x14ac:dyDescent="0.25">
      <c r="A35" s="41" t="s">
        <v>32</v>
      </c>
      <c r="B35" s="171">
        <f t="shared" ref="B35:H35" si="8">SUM(B36:B37)</f>
        <v>973461.24368000007</v>
      </c>
      <c r="C35" s="43">
        <f t="shared" si="8"/>
        <v>1023239.1911700001</v>
      </c>
      <c r="D35" s="171">
        <f t="shared" si="8"/>
        <v>1062598</v>
      </c>
      <c r="E35" s="45">
        <f t="shared" si="8"/>
        <v>1077428</v>
      </c>
      <c r="F35" s="45">
        <f t="shared" si="8"/>
        <v>1091570</v>
      </c>
      <c r="G35" s="282">
        <f t="shared" si="8"/>
        <v>1111461</v>
      </c>
      <c r="H35" s="292">
        <f t="shared" si="8"/>
        <v>1130672</v>
      </c>
      <c r="I35" s="184"/>
      <c r="J35" s="132"/>
      <c r="K35" s="164"/>
      <c r="L35" s="164"/>
      <c r="M35" s="164"/>
      <c r="N35" s="164"/>
      <c r="O35" s="164"/>
      <c r="P35" s="164"/>
      <c r="Q35" s="164"/>
      <c r="R35" s="419"/>
      <c r="S35" s="419"/>
      <c r="T35" s="419"/>
      <c r="U35" s="419"/>
      <c r="V35" s="419"/>
      <c r="W35" s="419"/>
      <c r="X35" s="419"/>
    </row>
    <row r="36" spans="1:24" ht="13.5" customHeight="1" x14ac:dyDescent="0.25">
      <c r="A36" s="24" t="s">
        <v>33</v>
      </c>
      <c r="B36" s="170">
        <v>618717.19252000004</v>
      </c>
      <c r="C36" s="26">
        <v>645109.31676000007</v>
      </c>
      <c r="D36" s="406">
        <v>667645</v>
      </c>
      <c r="E36" s="357">
        <v>675501</v>
      </c>
      <c r="F36" s="47">
        <v>681284</v>
      </c>
      <c r="G36" s="318">
        <v>689877</v>
      </c>
      <c r="H36" s="316">
        <v>698568</v>
      </c>
      <c r="I36" s="407"/>
      <c r="J36" s="132"/>
      <c r="K36" s="164"/>
      <c r="L36" s="164"/>
      <c r="M36" s="164"/>
      <c r="N36" s="164"/>
      <c r="O36" s="164"/>
      <c r="P36" s="164"/>
      <c r="Q36" s="164"/>
      <c r="R36" s="419"/>
      <c r="S36" s="419"/>
      <c r="T36" s="419"/>
      <c r="U36" s="419"/>
      <c r="V36" s="419"/>
      <c r="W36" s="419"/>
      <c r="X36" s="419"/>
    </row>
    <row r="37" spans="1:24" ht="13.5" customHeight="1" x14ac:dyDescent="0.25">
      <c r="A37" s="24" t="s">
        <v>34</v>
      </c>
      <c r="B37" s="172">
        <v>354744.05116000003</v>
      </c>
      <c r="C37" s="26">
        <v>378129.87441000005</v>
      </c>
      <c r="D37" s="408">
        <v>394953</v>
      </c>
      <c r="E37" s="47">
        <v>401927</v>
      </c>
      <c r="F37" s="47">
        <v>410286</v>
      </c>
      <c r="G37" s="318">
        <v>421584</v>
      </c>
      <c r="H37" s="316">
        <v>432104</v>
      </c>
      <c r="I37" s="407"/>
      <c r="J37" s="132"/>
      <c r="K37" s="164"/>
      <c r="L37" s="164"/>
      <c r="M37" s="164"/>
      <c r="N37" s="164"/>
      <c r="O37" s="164"/>
      <c r="P37" s="164"/>
      <c r="Q37" s="164"/>
      <c r="R37" s="419"/>
      <c r="S37" s="419"/>
      <c r="T37" s="419"/>
      <c r="U37" s="419"/>
      <c r="V37" s="419"/>
      <c r="W37" s="419"/>
      <c r="X37" s="419"/>
    </row>
    <row r="38" spans="1:24" ht="13.5" customHeight="1" x14ac:dyDescent="0.25">
      <c r="A38" s="41" t="s">
        <v>37</v>
      </c>
      <c r="B38" s="171">
        <f t="shared" ref="B38:H38" si="9">SUM(B39:B46,B49:B53)</f>
        <v>893487.81761000003</v>
      </c>
      <c r="C38" s="43">
        <f t="shared" si="9"/>
        <v>1354410.0837999999</v>
      </c>
      <c r="D38" s="171">
        <f t="shared" si="9"/>
        <v>1191733</v>
      </c>
      <c r="E38" s="45">
        <f t="shared" si="9"/>
        <v>1214173</v>
      </c>
      <c r="F38" s="45">
        <f t="shared" si="9"/>
        <v>1194464</v>
      </c>
      <c r="G38" s="282">
        <f t="shared" si="9"/>
        <v>1198059</v>
      </c>
      <c r="H38" s="292">
        <f t="shared" si="9"/>
        <v>1273375</v>
      </c>
      <c r="I38" s="184"/>
      <c r="J38" s="132"/>
      <c r="K38" s="164"/>
      <c r="L38" s="164"/>
      <c r="M38" s="164"/>
      <c r="N38" s="164"/>
      <c r="O38" s="164"/>
      <c r="P38" s="164"/>
      <c r="Q38" s="164"/>
      <c r="R38" s="419"/>
      <c r="S38" s="419"/>
      <c r="T38" s="419"/>
      <c r="U38" s="419"/>
      <c r="V38" s="419"/>
      <c r="W38" s="419"/>
      <c r="X38" s="419"/>
    </row>
    <row r="39" spans="1:24" ht="13.5" customHeight="1" x14ac:dyDescent="0.25">
      <c r="A39" s="53" t="s">
        <v>38</v>
      </c>
      <c r="B39" s="170">
        <v>0</v>
      </c>
      <c r="C39" s="26">
        <v>0</v>
      </c>
      <c r="D39" s="172">
        <v>0</v>
      </c>
      <c r="E39" s="40">
        <v>0</v>
      </c>
      <c r="F39" s="40">
        <v>0</v>
      </c>
      <c r="G39" s="283">
        <v>0</v>
      </c>
      <c r="H39" s="293">
        <v>0</v>
      </c>
      <c r="I39" s="184"/>
      <c r="J39" s="132"/>
      <c r="K39" s="164"/>
      <c r="L39" s="164"/>
      <c r="M39" s="164"/>
      <c r="N39" s="164"/>
      <c r="O39" s="164"/>
      <c r="P39" s="164"/>
      <c r="Q39" s="164"/>
      <c r="R39" s="419"/>
      <c r="S39" s="419"/>
      <c r="T39" s="419"/>
      <c r="U39" s="419"/>
      <c r="V39" s="419"/>
      <c r="W39" s="419"/>
      <c r="X39" s="419"/>
    </row>
    <row r="40" spans="1:24" ht="13.5" customHeight="1" x14ac:dyDescent="0.25">
      <c r="A40" s="24" t="s">
        <v>39</v>
      </c>
      <c r="B40" s="170">
        <v>141343.47588000001</v>
      </c>
      <c r="C40" s="26">
        <v>131216.64317</v>
      </c>
      <c r="D40" s="172">
        <v>131845</v>
      </c>
      <c r="E40" s="40">
        <v>134046</v>
      </c>
      <c r="F40" s="40">
        <v>136384</v>
      </c>
      <c r="G40" s="283">
        <v>139348</v>
      </c>
      <c r="H40" s="293">
        <v>142993</v>
      </c>
      <c r="I40" s="184"/>
      <c r="J40" s="132"/>
      <c r="K40" s="164"/>
      <c r="L40" s="164"/>
      <c r="M40" s="164"/>
      <c r="N40" s="164"/>
      <c r="O40" s="164"/>
      <c r="P40" s="164"/>
      <c r="Q40" s="164"/>
      <c r="R40" s="419"/>
      <c r="S40" s="419"/>
      <c r="T40" s="419"/>
      <c r="U40" s="419"/>
      <c r="V40" s="419"/>
      <c r="W40" s="419"/>
      <c r="X40" s="419"/>
    </row>
    <row r="41" spans="1:24" ht="13.5" customHeight="1" x14ac:dyDescent="0.25">
      <c r="A41" s="53" t="s">
        <v>40</v>
      </c>
      <c r="B41" s="170">
        <v>0</v>
      </c>
      <c r="C41" s="26">
        <v>0</v>
      </c>
      <c r="D41" s="170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132"/>
      <c r="K41" s="164"/>
      <c r="L41" s="164"/>
      <c r="M41" s="164"/>
      <c r="N41" s="164"/>
      <c r="O41" s="164"/>
      <c r="P41" s="164"/>
      <c r="Q41" s="164"/>
      <c r="R41" s="419"/>
      <c r="S41" s="419"/>
      <c r="T41" s="419"/>
      <c r="U41" s="419"/>
      <c r="V41" s="419"/>
      <c r="W41" s="419"/>
      <c r="X41" s="419"/>
    </row>
    <row r="42" spans="1:24" ht="13.5" customHeight="1" x14ac:dyDescent="0.25">
      <c r="A42" s="53" t="s">
        <v>41</v>
      </c>
      <c r="B42" s="170">
        <v>561136.05695</v>
      </c>
      <c r="C42" s="26">
        <v>639073.75425999996</v>
      </c>
      <c r="D42" s="170">
        <v>350373</v>
      </c>
      <c r="E42" s="28">
        <v>338701</v>
      </c>
      <c r="F42" s="28">
        <v>282584</v>
      </c>
      <c r="G42" s="55">
        <v>247047</v>
      </c>
      <c r="H42" s="291">
        <v>282150</v>
      </c>
      <c r="I42" s="184"/>
      <c r="J42" s="132"/>
      <c r="K42" s="164"/>
      <c r="L42" s="164"/>
      <c r="M42" s="164"/>
      <c r="N42" s="164"/>
      <c r="O42" s="164"/>
      <c r="P42" s="164"/>
      <c r="Q42" s="164"/>
      <c r="R42" s="419"/>
      <c r="S42" s="419"/>
      <c r="T42" s="419"/>
      <c r="U42" s="419"/>
      <c r="V42" s="419"/>
      <c r="W42" s="419"/>
      <c r="X42" s="419"/>
    </row>
    <row r="43" spans="1:24" ht="13.5" customHeight="1" x14ac:dyDescent="0.25">
      <c r="A43" s="53" t="s">
        <v>88</v>
      </c>
      <c r="B43" s="170">
        <v>1956.5393999999999</v>
      </c>
      <c r="C43" s="26">
        <v>55672.171799999996</v>
      </c>
      <c r="D43" s="170">
        <v>0</v>
      </c>
      <c r="E43" s="28">
        <v>0</v>
      </c>
      <c r="F43" s="28">
        <v>0</v>
      </c>
      <c r="G43" s="55">
        <v>0</v>
      </c>
      <c r="H43" s="291">
        <v>0</v>
      </c>
      <c r="I43" s="184"/>
      <c r="J43" s="132"/>
      <c r="K43" s="164"/>
      <c r="L43" s="164"/>
      <c r="M43" s="164"/>
      <c r="N43" s="164"/>
      <c r="O43" s="164"/>
      <c r="P43" s="164"/>
      <c r="Q43" s="164"/>
      <c r="R43" s="419"/>
      <c r="S43" s="419"/>
      <c r="T43" s="419"/>
      <c r="U43" s="419"/>
      <c r="V43" s="419"/>
      <c r="W43" s="419"/>
      <c r="X43" s="419"/>
    </row>
    <row r="44" spans="1:24" ht="13.5" customHeight="1" x14ac:dyDescent="0.25">
      <c r="A44" s="53" t="s">
        <v>89</v>
      </c>
      <c r="B44" s="170">
        <v>7528.9286100000008</v>
      </c>
      <c r="C44" s="26">
        <v>347.465299999997</v>
      </c>
      <c r="D44" s="170">
        <v>0</v>
      </c>
      <c r="E44" s="28">
        <v>0</v>
      </c>
      <c r="F44" s="28">
        <v>0</v>
      </c>
      <c r="G44" s="55">
        <v>0</v>
      </c>
      <c r="H44" s="291">
        <v>0</v>
      </c>
      <c r="I44" s="184"/>
      <c r="J44" s="132"/>
      <c r="K44" s="164"/>
      <c r="L44" s="164"/>
      <c r="M44" s="164"/>
      <c r="N44" s="164"/>
      <c r="O44" s="164"/>
      <c r="P44" s="164"/>
      <c r="Q44" s="164"/>
      <c r="R44" s="419"/>
      <c r="S44" s="419"/>
      <c r="T44" s="419"/>
      <c r="U44" s="419"/>
      <c r="V44" s="419"/>
      <c r="W44" s="419"/>
      <c r="X44" s="419"/>
    </row>
    <row r="45" spans="1:24" ht="13.5" customHeight="1" x14ac:dyDescent="0.25">
      <c r="A45" s="261" t="s">
        <v>42</v>
      </c>
      <c r="B45" s="170">
        <v>2117.90022</v>
      </c>
      <c r="C45" s="26">
        <v>1242.38833</v>
      </c>
      <c r="D45" s="170">
        <v>400</v>
      </c>
      <c r="E45" s="28">
        <v>0</v>
      </c>
      <c r="F45" s="28">
        <v>0</v>
      </c>
      <c r="G45" s="55">
        <v>0</v>
      </c>
      <c r="H45" s="291">
        <v>0</v>
      </c>
      <c r="I45" s="184"/>
      <c r="J45" s="132"/>
      <c r="K45" s="164"/>
      <c r="L45" s="164"/>
      <c r="M45" s="164"/>
      <c r="N45" s="164"/>
      <c r="O45" s="164"/>
      <c r="P45" s="164"/>
      <c r="Q45" s="164"/>
      <c r="R45" s="419"/>
      <c r="S45" s="419"/>
      <c r="T45" s="419"/>
      <c r="U45" s="419"/>
      <c r="V45" s="419"/>
      <c r="W45" s="419"/>
      <c r="X45" s="419"/>
    </row>
    <row r="46" spans="1:24" ht="13.5" customHeight="1" x14ac:dyDescent="0.25">
      <c r="A46" s="53" t="s">
        <v>43</v>
      </c>
      <c r="B46" s="172">
        <v>360.98953999999998</v>
      </c>
      <c r="C46" s="26">
        <v>345.19947000000002</v>
      </c>
      <c r="D46" s="172">
        <v>520</v>
      </c>
      <c r="E46" s="40">
        <v>520</v>
      </c>
      <c r="F46" s="40">
        <v>520</v>
      </c>
      <c r="G46" s="283">
        <v>520</v>
      </c>
      <c r="H46" s="293">
        <v>520</v>
      </c>
      <c r="I46" s="184"/>
      <c r="J46" s="132"/>
      <c r="K46" s="164"/>
      <c r="L46" s="164"/>
      <c r="M46" s="164"/>
      <c r="N46" s="164"/>
      <c r="O46" s="164"/>
      <c r="P46" s="164"/>
      <c r="Q46" s="164"/>
      <c r="R46" s="419"/>
      <c r="S46" s="419"/>
      <c r="T46" s="419"/>
      <c r="U46" s="419"/>
      <c r="V46" s="419"/>
      <c r="W46" s="419"/>
      <c r="X46" s="419"/>
    </row>
    <row r="47" spans="1:24" ht="13.5" customHeight="1" x14ac:dyDescent="0.25">
      <c r="A47" s="56" t="s">
        <v>10</v>
      </c>
      <c r="B47" s="172">
        <v>82.454829999999959</v>
      </c>
      <c r="C47" s="26">
        <v>82.985879999999995</v>
      </c>
      <c r="D47" s="172">
        <v>0</v>
      </c>
      <c r="E47" s="40">
        <v>0</v>
      </c>
      <c r="F47" s="40">
        <v>0</v>
      </c>
      <c r="G47" s="283">
        <v>0</v>
      </c>
      <c r="H47" s="293">
        <v>0</v>
      </c>
      <c r="I47" s="184"/>
      <c r="J47" s="132"/>
      <c r="K47" s="164"/>
      <c r="L47" s="164"/>
      <c r="M47" s="164"/>
      <c r="N47" s="164"/>
      <c r="O47" s="164"/>
      <c r="P47" s="164"/>
      <c r="Q47" s="164"/>
      <c r="R47" s="419"/>
      <c r="S47" s="419"/>
      <c r="T47" s="419"/>
      <c r="U47" s="419"/>
      <c r="V47" s="419"/>
      <c r="W47" s="419"/>
      <c r="X47" s="419"/>
    </row>
    <row r="48" spans="1:24" ht="13.5" customHeight="1" x14ac:dyDescent="0.25">
      <c r="A48" s="56" t="s">
        <v>11</v>
      </c>
      <c r="B48" s="172">
        <v>278.53471000000002</v>
      </c>
      <c r="C48" s="26">
        <v>262.21359000000001</v>
      </c>
      <c r="D48" s="172">
        <v>520</v>
      </c>
      <c r="E48" s="40">
        <v>520</v>
      </c>
      <c r="F48" s="40">
        <v>520</v>
      </c>
      <c r="G48" s="283">
        <v>520</v>
      </c>
      <c r="H48" s="293">
        <v>520</v>
      </c>
      <c r="I48" s="184"/>
      <c r="J48" s="132"/>
      <c r="K48" s="164"/>
      <c r="L48" s="164"/>
      <c r="M48" s="164"/>
      <c r="N48" s="164"/>
      <c r="O48" s="164"/>
      <c r="P48" s="164"/>
      <c r="Q48" s="164"/>
      <c r="R48" s="419"/>
      <c r="S48" s="419"/>
      <c r="T48" s="419"/>
      <c r="U48" s="419"/>
      <c r="V48" s="419"/>
      <c r="W48" s="419"/>
      <c r="X48" s="419"/>
    </row>
    <row r="49" spans="1:24" ht="13.5" customHeight="1" x14ac:dyDescent="0.25">
      <c r="A49" s="53" t="s">
        <v>44</v>
      </c>
      <c r="B49" s="172">
        <v>765.42763000000002</v>
      </c>
      <c r="C49" s="26">
        <v>273.24873000000002</v>
      </c>
      <c r="D49" s="172">
        <v>1332</v>
      </c>
      <c r="E49" s="40">
        <v>1000</v>
      </c>
      <c r="F49" s="40">
        <v>1000</v>
      </c>
      <c r="G49" s="283">
        <v>1000</v>
      </c>
      <c r="H49" s="293">
        <v>1000</v>
      </c>
      <c r="I49" s="184"/>
      <c r="J49" s="132"/>
      <c r="K49" s="164"/>
      <c r="L49" s="164"/>
      <c r="M49" s="164"/>
      <c r="N49" s="164"/>
      <c r="O49" s="164"/>
      <c r="P49" s="164"/>
      <c r="Q49" s="164"/>
      <c r="R49" s="419"/>
      <c r="S49" s="419"/>
      <c r="T49" s="419"/>
      <c r="U49" s="419"/>
      <c r="V49" s="419"/>
      <c r="W49" s="419"/>
      <c r="X49" s="419"/>
    </row>
    <row r="50" spans="1:24" ht="13.5" customHeight="1" x14ac:dyDescent="0.25">
      <c r="A50" s="53" t="s">
        <v>45</v>
      </c>
      <c r="B50" s="172">
        <v>30281.73488</v>
      </c>
      <c r="C50" s="54">
        <v>27955.40238</v>
      </c>
      <c r="D50" s="172">
        <v>28171</v>
      </c>
      <c r="E50" s="40">
        <v>17598</v>
      </c>
      <c r="F50" s="40">
        <v>18055</v>
      </c>
      <c r="G50" s="283">
        <v>18717</v>
      </c>
      <c r="H50" s="293">
        <v>19317</v>
      </c>
      <c r="I50" s="184"/>
      <c r="J50" s="132"/>
      <c r="K50" s="164"/>
      <c r="L50" s="164"/>
      <c r="M50" s="164"/>
      <c r="N50" s="164"/>
      <c r="O50" s="164"/>
      <c r="P50" s="164"/>
      <c r="Q50" s="164"/>
      <c r="R50" s="419"/>
      <c r="S50" s="419"/>
      <c r="T50" s="419"/>
      <c r="U50" s="419"/>
      <c r="V50" s="419"/>
      <c r="W50" s="419"/>
      <c r="X50" s="419"/>
    </row>
    <row r="51" spans="1:24" ht="13.5" customHeight="1" x14ac:dyDescent="0.25">
      <c r="A51" s="345" t="s">
        <v>92</v>
      </c>
      <c r="B51" s="172">
        <v>0</v>
      </c>
      <c r="C51" s="54">
        <v>338921.28242000006</v>
      </c>
      <c r="D51" s="172">
        <v>486066</v>
      </c>
      <c r="E51" s="40">
        <v>502624</v>
      </c>
      <c r="F51" s="40">
        <v>525220</v>
      </c>
      <c r="G51" s="283">
        <v>549767</v>
      </c>
      <c r="H51" s="293">
        <v>574134</v>
      </c>
      <c r="I51" s="184"/>
      <c r="J51" s="132"/>
      <c r="K51" s="164"/>
      <c r="L51" s="164"/>
      <c r="M51" s="164"/>
      <c r="N51" s="164"/>
      <c r="O51" s="164"/>
      <c r="P51" s="164"/>
      <c r="Q51" s="164"/>
      <c r="R51" s="419"/>
      <c r="S51" s="419"/>
      <c r="T51" s="419"/>
      <c r="U51" s="419"/>
      <c r="V51" s="419"/>
      <c r="W51" s="419"/>
      <c r="X51" s="419"/>
    </row>
    <row r="52" spans="1:24" ht="13.5" customHeight="1" x14ac:dyDescent="0.25">
      <c r="A52" s="53" t="s">
        <v>46</v>
      </c>
      <c r="B52" s="172">
        <v>10.8108</v>
      </c>
      <c r="C52" s="54">
        <v>-0.78783000000000003</v>
      </c>
      <c r="D52" s="38">
        <v>2</v>
      </c>
      <c r="E52" s="40">
        <v>0</v>
      </c>
      <c r="F52" s="40">
        <v>0</v>
      </c>
      <c r="G52" s="283">
        <v>0</v>
      </c>
      <c r="H52" s="293">
        <v>0</v>
      </c>
      <c r="I52" s="184"/>
      <c r="J52" s="132"/>
      <c r="K52" s="164"/>
      <c r="L52" s="164"/>
      <c r="M52" s="164"/>
      <c r="N52" s="164"/>
      <c r="O52" s="164"/>
      <c r="P52" s="164"/>
      <c r="Q52" s="164"/>
      <c r="R52" s="419"/>
      <c r="S52" s="419"/>
      <c r="T52" s="419"/>
      <c r="U52" s="419"/>
      <c r="V52" s="419"/>
      <c r="W52" s="419"/>
      <c r="X52" s="419"/>
    </row>
    <row r="53" spans="1:24" ht="13.5" customHeight="1" x14ac:dyDescent="0.25">
      <c r="A53" s="24" t="s">
        <v>82</v>
      </c>
      <c r="B53" s="25">
        <f t="shared" ref="B53:H53" si="10">+B54+B55+B56+B57</f>
        <v>147985.95370000001</v>
      </c>
      <c r="C53" s="26">
        <f t="shared" si="10"/>
        <v>159363.31577000002</v>
      </c>
      <c r="D53" s="27">
        <f t="shared" si="10"/>
        <v>193024</v>
      </c>
      <c r="E53" s="28">
        <f t="shared" si="10"/>
        <v>219684</v>
      </c>
      <c r="F53" s="28">
        <f t="shared" si="10"/>
        <v>230701</v>
      </c>
      <c r="G53" s="55">
        <f t="shared" si="10"/>
        <v>241660</v>
      </c>
      <c r="H53" s="291">
        <f t="shared" si="10"/>
        <v>253261</v>
      </c>
      <c r="I53" s="184"/>
      <c r="J53" s="132"/>
      <c r="K53" s="164"/>
      <c r="L53" s="164"/>
      <c r="M53" s="164"/>
      <c r="N53" s="164"/>
      <c r="O53" s="164"/>
      <c r="P53" s="164"/>
      <c r="Q53" s="164"/>
      <c r="R53" s="419"/>
      <c r="S53" s="419"/>
      <c r="T53" s="419"/>
      <c r="U53" s="419"/>
      <c r="V53" s="419"/>
      <c r="W53" s="419"/>
      <c r="X53" s="419"/>
    </row>
    <row r="54" spans="1:24" ht="13.5" customHeight="1" x14ac:dyDescent="0.25">
      <c r="A54" s="36" t="s">
        <v>10</v>
      </c>
      <c r="B54" s="25">
        <f>+B58+B59+B60+73.45814</f>
        <v>110550.64409</v>
      </c>
      <c r="C54" s="26">
        <f>+C58+C59+C60-61.92194</f>
        <v>120076.77632</v>
      </c>
      <c r="D54" s="27">
        <f t="shared" ref="D54:H54" si="11">+D58+D59+D60</f>
        <v>148290</v>
      </c>
      <c r="E54" s="28">
        <f t="shared" si="11"/>
        <v>163033</v>
      </c>
      <c r="F54" s="28">
        <f t="shared" si="11"/>
        <v>169862</v>
      </c>
      <c r="G54" s="55">
        <f t="shared" si="11"/>
        <v>177764</v>
      </c>
      <c r="H54" s="291">
        <f t="shared" si="11"/>
        <v>185712</v>
      </c>
      <c r="I54" s="184"/>
      <c r="J54" s="132"/>
      <c r="K54" s="164"/>
      <c r="L54" s="164"/>
      <c r="M54" s="164"/>
      <c r="N54" s="164"/>
      <c r="O54" s="164"/>
      <c r="P54" s="164"/>
      <c r="Q54" s="164"/>
      <c r="R54" s="419"/>
      <c r="S54" s="419"/>
      <c r="T54" s="419"/>
      <c r="U54" s="419"/>
      <c r="V54" s="419"/>
      <c r="W54" s="419"/>
      <c r="X54" s="419"/>
    </row>
    <row r="55" spans="1:24" ht="14.25" customHeight="1" x14ac:dyDescent="0.25">
      <c r="A55" s="57" t="s">
        <v>11</v>
      </c>
      <c r="B55" s="25">
        <v>2352.0509299999999</v>
      </c>
      <c r="C55" s="26">
        <v>35.377330000000001</v>
      </c>
      <c r="D55" s="27">
        <v>0</v>
      </c>
      <c r="E55" s="28">
        <v>0</v>
      </c>
      <c r="F55" s="28">
        <v>0</v>
      </c>
      <c r="G55" s="55">
        <v>0</v>
      </c>
      <c r="H55" s="291">
        <v>0</v>
      </c>
      <c r="I55" s="184"/>
      <c r="J55" s="132"/>
      <c r="K55" s="164"/>
      <c r="L55" s="164"/>
      <c r="M55" s="164"/>
      <c r="N55" s="164"/>
      <c r="O55" s="164"/>
      <c r="P55" s="164"/>
      <c r="Q55" s="164"/>
      <c r="R55" s="419"/>
      <c r="S55" s="419"/>
      <c r="T55" s="419"/>
      <c r="U55" s="419"/>
      <c r="V55" s="419"/>
      <c r="W55" s="419"/>
      <c r="X55" s="419"/>
    </row>
    <row r="56" spans="1:24" ht="14.25" customHeight="1" x14ac:dyDescent="0.25">
      <c r="A56" s="58" t="s">
        <v>12</v>
      </c>
      <c r="B56" s="25">
        <v>0</v>
      </c>
      <c r="C56" s="26">
        <v>0</v>
      </c>
      <c r="D56" s="27">
        <v>0</v>
      </c>
      <c r="E56" s="28">
        <v>0</v>
      </c>
      <c r="F56" s="28">
        <v>0</v>
      </c>
      <c r="G56" s="55">
        <v>0</v>
      </c>
      <c r="H56" s="291">
        <v>0</v>
      </c>
      <c r="I56" s="184"/>
      <c r="J56" s="132"/>
      <c r="K56" s="164"/>
      <c r="L56" s="164"/>
      <c r="M56" s="164"/>
      <c r="N56" s="164"/>
      <c r="O56" s="164"/>
      <c r="P56" s="164"/>
      <c r="Q56" s="164"/>
      <c r="R56" s="419"/>
      <c r="S56" s="419"/>
      <c r="T56" s="419"/>
      <c r="U56" s="419"/>
      <c r="V56" s="419"/>
      <c r="W56" s="419"/>
      <c r="X56" s="419"/>
    </row>
    <row r="57" spans="1:24" ht="14.25" customHeight="1" x14ac:dyDescent="0.25">
      <c r="A57" s="36" t="s">
        <v>49</v>
      </c>
      <c r="B57" s="25">
        <f t="shared" ref="B57:H57" si="12">+B61</f>
        <v>35083.258679999999</v>
      </c>
      <c r="C57" s="26">
        <f t="shared" si="12"/>
        <v>39251.162120000001</v>
      </c>
      <c r="D57" s="27">
        <f t="shared" si="12"/>
        <v>44734</v>
      </c>
      <c r="E57" s="28">
        <f t="shared" si="12"/>
        <v>56651</v>
      </c>
      <c r="F57" s="28">
        <f t="shared" si="12"/>
        <v>60839</v>
      </c>
      <c r="G57" s="55">
        <f t="shared" si="12"/>
        <v>63896</v>
      </c>
      <c r="H57" s="291">
        <f t="shared" si="12"/>
        <v>67549</v>
      </c>
      <c r="I57" s="184"/>
      <c r="J57" s="132"/>
      <c r="K57" s="164"/>
      <c r="L57" s="164"/>
      <c r="M57" s="164"/>
      <c r="N57" s="164"/>
      <c r="O57" s="164"/>
      <c r="P57" s="164"/>
      <c r="Q57" s="164"/>
      <c r="R57" s="419"/>
      <c r="S57" s="419"/>
      <c r="T57" s="419"/>
      <c r="U57" s="419"/>
      <c r="V57" s="419"/>
      <c r="W57" s="419"/>
      <c r="X57" s="419"/>
    </row>
    <row r="58" spans="1:24" ht="14.25" customHeight="1" x14ac:dyDescent="0.25">
      <c r="A58" s="59" t="s">
        <v>50</v>
      </c>
      <c r="B58" s="25">
        <v>0.25095000000000001</v>
      </c>
      <c r="C58" s="26">
        <v>0.12627999999999995</v>
      </c>
      <c r="D58" s="27">
        <v>0</v>
      </c>
      <c r="E58" s="28">
        <v>0</v>
      </c>
      <c r="F58" s="28">
        <v>0</v>
      </c>
      <c r="G58" s="55"/>
      <c r="H58" s="291"/>
      <c r="I58" s="184"/>
      <c r="J58" s="132"/>
      <c r="K58" s="164"/>
      <c r="L58" s="164"/>
      <c r="M58" s="164"/>
      <c r="N58" s="164"/>
      <c r="O58" s="164"/>
      <c r="P58" s="164"/>
      <c r="Q58" s="164"/>
      <c r="R58" s="419"/>
      <c r="S58" s="419"/>
      <c r="T58" s="419"/>
      <c r="U58" s="419"/>
      <c r="V58" s="419"/>
      <c r="W58" s="419"/>
      <c r="X58" s="419"/>
    </row>
    <row r="59" spans="1:24" ht="14.25" customHeight="1" x14ac:dyDescent="0.25">
      <c r="A59" s="59" t="s">
        <v>51</v>
      </c>
      <c r="B59" s="25">
        <v>-36.787010000000002</v>
      </c>
      <c r="C59" s="26">
        <v>3.1026200000000004</v>
      </c>
      <c r="D59" s="27">
        <v>2</v>
      </c>
      <c r="E59" s="28">
        <v>0</v>
      </c>
      <c r="F59" s="28">
        <v>0</v>
      </c>
      <c r="G59" s="55">
        <v>0</v>
      </c>
      <c r="H59" s="291">
        <v>0</v>
      </c>
      <c r="I59" s="184"/>
      <c r="J59" s="132"/>
      <c r="K59" s="164"/>
      <c r="L59" s="164"/>
      <c r="M59" s="164"/>
      <c r="N59" s="164"/>
      <c r="O59" s="164"/>
      <c r="P59" s="164"/>
      <c r="Q59" s="164"/>
      <c r="R59" s="419"/>
      <c r="S59" s="419"/>
      <c r="T59" s="419"/>
      <c r="U59" s="419"/>
      <c r="V59" s="419"/>
      <c r="W59" s="419"/>
      <c r="X59" s="419"/>
    </row>
    <row r="60" spans="1:24" ht="14.25" customHeight="1" x14ac:dyDescent="0.25">
      <c r="A60" s="59" t="s">
        <v>52</v>
      </c>
      <c r="B60" s="25">
        <v>110513.72201</v>
      </c>
      <c r="C60" s="26">
        <v>120135.46936</v>
      </c>
      <c r="D60" s="27">
        <v>148288</v>
      </c>
      <c r="E60" s="28">
        <v>163033</v>
      </c>
      <c r="F60" s="28">
        <v>169862</v>
      </c>
      <c r="G60" s="55">
        <v>177764</v>
      </c>
      <c r="H60" s="291">
        <v>185712</v>
      </c>
      <c r="I60" s="184"/>
      <c r="J60" s="132"/>
      <c r="K60" s="164"/>
      <c r="L60" s="164"/>
      <c r="M60" s="164"/>
      <c r="N60" s="164"/>
      <c r="O60" s="164"/>
      <c r="P60" s="164"/>
      <c r="Q60" s="164"/>
      <c r="R60" s="419"/>
      <c r="S60" s="419"/>
      <c r="T60" s="419"/>
      <c r="U60" s="419"/>
      <c r="V60" s="419"/>
      <c r="W60" s="419"/>
      <c r="X60" s="419"/>
    </row>
    <row r="61" spans="1:24" ht="14.25" customHeight="1" thickBot="1" x14ac:dyDescent="0.3">
      <c r="A61" s="60" t="s">
        <v>53</v>
      </c>
      <c r="B61" s="61">
        <v>35083.258679999999</v>
      </c>
      <c r="C61" s="62">
        <v>39251.162120000001</v>
      </c>
      <c r="D61" s="63">
        <v>44734</v>
      </c>
      <c r="E61" s="64">
        <v>56651</v>
      </c>
      <c r="F61" s="64">
        <v>60839</v>
      </c>
      <c r="G61" s="284">
        <v>63896</v>
      </c>
      <c r="H61" s="294">
        <v>67549</v>
      </c>
      <c r="I61" s="184"/>
      <c r="J61" s="132"/>
      <c r="K61" s="164"/>
      <c r="L61" s="164"/>
      <c r="M61" s="164"/>
      <c r="N61" s="164"/>
      <c r="O61" s="164"/>
      <c r="P61" s="164"/>
      <c r="Q61" s="164"/>
      <c r="R61" s="419"/>
      <c r="S61" s="419"/>
      <c r="T61" s="419"/>
      <c r="U61" s="419"/>
      <c r="V61" s="419"/>
      <c r="W61" s="419"/>
      <c r="X61" s="419"/>
    </row>
    <row r="62" spans="1:24" ht="13.5" customHeight="1" x14ac:dyDescent="0.25">
      <c r="A62" s="16" t="s">
        <v>54</v>
      </c>
      <c r="B62" s="169">
        <f t="shared" ref="B62:H62" si="13">B63+B68</f>
        <v>17117883.199760035</v>
      </c>
      <c r="C62" s="66">
        <f t="shared" si="13"/>
        <v>18295760.706739929</v>
      </c>
      <c r="D62" s="169">
        <f t="shared" si="13"/>
        <v>19774851</v>
      </c>
      <c r="E62" s="67">
        <f t="shared" si="13"/>
        <v>20728053</v>
      </c>
      <c r="F62" s="67">
        <f t="shared" si="13"/>
        <v>21219934</v>
      </c>
      <c r="G62" s="285">
        <f t="shared" si="13"/>
        <v>22114150</v>
      </c>
      <c r="H62" s="403">
        <f t="shared" si="13"/>
        <v>23013350</v>
      </c>
      <c r="I62" s="184"/>
      <c r="J62" s="132"/>
      <c r="K62" s="164"/>
      <c r="L62" s="164"/>
      <c r="M62" s="164"/>
      <c r="N62" s="164"/>
      <c r="O62" s="164"/>
      <c r="P62" s="164"/>
      <c r="Q62" s="164"/>
      <c r="R62" s="419"/>
      <c r="S62" s="419"/>
      <c r="T62" s="419"/>
      <c r="U62" s="419"/>
      <c r="V62" s="419"/>
      <c r="W62" s="419"/>
      <c r="X62" s="419"/>
    </row>
    <row r="63" spans="1:24" ht="13.5" customHeight="1" x14ac:dyDescent="0.25">
      <c r="A63" s="72" t="s">
        <v>55</v>
      </c>
      <c r="B63" s="171">
        <f>B64+B67</f>
        <v>11216498.289700001</v>
      </c>
      <c r="C63" s="43">
        <f t="shared" ref="C63:H63" si="14">C64+C67</f>
        <v>11965960.10524</v>
      </c>
      <c r="D63" s="171">
        <f t="shared" si="14"/>
        <v>12749587</v>
      </c>
      <c r="E63" s="45">
        <f t="shared" si="14"/>
        <v>13375028</v>
      </c>
      <c r="F63" s="45">
        <f t="shared" si="14"/>
        <v>13971381</v>
      </c>
      <c r="G63" s="282">
        <f t="shared" si="14"/>
        <v>14581683</v>
      </c>
      <c r="H63" s="292">
        <f t="shared" si="14"/>
        <v>15168971</v>
      </c>
      <c r="I63" s="184"/>
      <c r="J63" s="132"/>
      <c r="K63" s="164"/>
      <c r="L63" s="164"/>
      <c r="M63" s="164"/>
      <c r="N63" s="164"/>
      <c r="O63" s="164"/>
      <c r="P63" s="164"/>
      <c r="Q63" s="164"/>
      <c r="R63" s="419"/>
      <c r="S63" s="419"/>
      <c r="T63" s="419"/>
      <c r="U63" s="419"/>
      <c r="V63" s="419"/>
      <c r="W63" s="419"/>
      <c r="X63" s="419"/>
    </row>
    <row r="64" spans="1:24" s="3" customFormat="1" ht="13.5" customHeight="1" x14ac:dyDescent="0.25">
      <c r="A64" s="29" t="s">
        <v>56</v>
      </c>
      <c r="B64" s="170">
        <f>B65+B66</f>
        <v>11216498.289700001</v>
      </c>
      <c r="C64" s="26">
        <f t="shared" ref="C64:H64" si="15">C65+C66</f>
        <v>11965960.10524</v>
      </c>
      <c r="D64" s="170">
        <f t="shared" si="15"/>
        <v>12749587</v>
      </c>
      <c r="E64" s="28">
        <f t="shared" si="15"/>
        <v>13375028</v>
      </c>
      <c r="F64" s="28">
        <f t="shared" si="15"/>
        <v>13971381</v>
      </c>
      <c r="G64" s="55">
        <f t="shared" si="15"/>
        <v>14581683</v>
      </c>
      <c r="H64" s="291">
        <f t="shared" si="15"/>
        <v>15168971</v>
      </c>
      <c r="I64" s="184"/>
      <c r="J64" s="132"/>
      <c r="K64" s="164"/>
      <c r="L64" s="164"/>
      <c r="M64" s="164"/>
      <c r="N64" s="164"/>
      <c r="O64" s="164"/>
      <c r="P64" s="164"/>
      <c r="Q64" s="164"/>
      <c r="R64" s="419"/>
      <c r="S64" s="419"/>
      <c r="T64" s="419"/>
      <c r="U64" s="419"/>
      <c r="V64" s="419"/>
      <c r="W64" s="419"/>
      <c r="X64" s="419"/>
    </row>
    <row r="65" spans="1:24" s="3" customFormat="1" ht="13.5" customHeight="1" x14ac:dyDescent="0.25">
      <c r="A65" s="29" t="s">
        <v>57</v>
      </c>
      <c r="B65" s="170">
        <v>10781143.219200002</v>
      </c>
      <c r="C65" s="26">
        <v>11778885.457520001</v>
      </c>
      <c r="D65" s="170">
        <v>12549952</v>
      </c>
      <c r="E65" s="28">
        <v>13176816</v>
      </c>
      <c r="F65" s="28">
        <v>13774079</v>
      </c>
      <c r="G65" s="55">
        <v>14385450</v>
      </c>
      <c r="H65" s="291">
        <v>14974157</v>
      </c>
      <c r="I65" s="184"/>
      <c r="J65" s="132"/>
      <c r="K65" s="164"/>
      <c r="L65" s="164"/>
      <c r="M65" s="164"/>
      <c r="N65" s="164"/>
      <c r="O65" s="164"/>
      <c r="P65" s="164"/>
      <c r="Q65" s="164"/>
      <c r="R65" s="419"/>
      <c r="S65" s="419"/>
      <c r="T65" s="419"/>
      <c r="U65" s="419"/>
      <c r="V65" s="419"/>
      <c r="W65" s="419"/>
      <c r="X65" s="419"/>
    </row>
    <row r="66" spans="1:24" s="3" customFormat="1" ht="13.5" customHeight="1" x14ac:dyDescent="0.25">
      <c r="A66" s="29" t="s">
        <v>58</v>
      </c>
      <c r="B66" s="170">
        <v>435355.07050000003</v>
      </c>
      <c r="C66" s="26">
        <v>187074.64772000004</v>
      </c>
      <c r="D66" s="170">
        <v>199635</v>
      </c>
      <c r="E66" s="28">
        <v>198212</v>
      </c>
      <c r="F66" s="28">
        <v>197302</v>
      </c>
      <c r="G66" s="55">
        <v>196233</v>
      </c>
      <c r="H66" s="291">
        <v>194814</v>
      </c>
      <c r="I66" s="184"/>
      <c r="J66" s="132"/>
      <c r="K66" s="164"/>
      <c r="L66" s="164"/>
      <c r="M66" s="164"/>
      <c r="N66" s="164"/>
      <c r="O66" s="164"/>
      <c r="P66" s="164"/>
      <c r="Q66" s="164"/>
      <c r="R66" s="419"/>
      <c r="S66" s="419"/>
      <c r="T66" s="419"/>
      <c r="U66" s="419"/>
      <c r="V66" s="419"/>
      <c r="W66" s="419"/>
      <c r="X66" s="419"/>
    </row>
    <row r="67" spans="1:24" s="3" customFormat="1" ht="13.5" customHeight="1" x14ac:dyDescent="0.25">
      <c r="A67" s="29" t="s">
        <v>83</v>
      </c>
      <c r="B67" s="170">
        <v>0</v>
      </c>
      <c r="C67" s="26">
        <v>0</v>
      </c>
      <c r="D67" s="170">
        <v>0</v>
      </c>
      <c r="E67" s="28">
        <v>0</v>
      </c>
      <c r="F67" s="28">
        <v>0</v>
      </c>
      <c r="G67" s="55">
        <v>0</v>
      </c>
      <c r="H67" s="291">
        <v>0</v>
      </c>
      <c r="I67" s="184"/>
      <c r="J67" s="132"/>
      <c r="K67" s="164"/>
      <c r="L67" s="164"/>
      <c r="M67" s="164"/>
      <c r="N67" s="164"/>
      <c r="O67" s="164"/>
      <c r="P67" s="164"/>
      <c r="Q67" s="164"/>
      <c r="R67" s="419"/>
      <c r="S67" s="419"/>
      <c r="T67" s="419"/>
      <c r="U67" s="419"/>
      <c r="V67" s="419"/>
      <c r="W67" s="419"/>
      <c r="X67" s="419"/>
    </row>
    <row r="68" spans="1:24" s="3" customFormat="1" ht="13.5" customHeight="1" x14ac:dyDescent="0.25">
      <c r="A68" s="72" t="s">
        <v>59</v>
      </c>
      <c r="B68" s="171">
        <f t="shared" ref="B68:H68" si="16">B69</f>
        <v>5901384.9100600351</v>
      </c>
      <c r="C68" s="43">
        <f t="shared" si="16"/>
        <v>6329800.6014999272</v>
      </c>
      <c r="D68" s="171">
        <f t="shared" si="16"/>
        <v>7025264</v>
      </c>
      <c r="E68" s="45">
        <f t="shared" si="16"/>
        <v>7353025</v>
      </c>
      <c r="F68" s="45">
        <f t="shared" si="16"/>
        <v>7248553</v>
      </c>
      <c r="G68" s="282">
        <f t="shared" si="16"/>
        <v>7532467</v>
      </c>
      <c r="H68" s="292">
        <f t="shared" si="16"/>
        <v>7844379</v>
      </c>
      <c r="I68" s="184"/>
      <c r="J68" s="132"/>
      <c r="K68" s="164"/>
      <c r="L68" s="164"/>
      <c r="M68" s="164"/>
      <c r="N68" s="164"/>
      <c r="O68" s="164"/>
      <c r="P68" s="164"/>
      <c r="Q68" s="164"/>
      <c r="R68" s="419"/>
      <c r="S68" s="419"/>
      <c r="T68" s="419"/>
      <c r="U68" s="419"/>
      <c r="V68" s="419"/>
      <c r="W68" s="419"/>
      <c r="X68" s="419"/>
    </row>
    <row r="69" spans="1:24" s="3" customFormat="1" ht="13.5" customHeight="1" x14ac:dyDescent="0.25">
      <c r="A69" s="29" t="s">
        <v>56</v>
      </c>
      <c r="B69" s="170">
        <v>5901384.9100600351</v>
      </c>
      <c r="C69" s="26">
        <v>6329800.6014999272</v>
      </c>
      <c r="D69" s="170">
        <v>7025264</v>
      </c>
      <c r="E69" s="28">
        <v>7353025</v>
      </c>
      <c r="F69" s="28">
        <v>7248553</v>
      </c>
      <c r="G69" s="55">
        <v>7532467</v>
      </c>
      <c r="H69" s="291">
        <v>7844379</v>
      </c>
      <c r="I69" s="184"/>
      <c r="J69" s="132"/>
      <c r="K69" s="164"/>
      <c r="L69" s="164"/>
      <c r="M69" s="164"/>
      <c r="N69" s="164"/>
      <c r="O69" s="164"/>
      <c r="P69" s="164"/>
      <c r="Q69" s="164"/>
      <c r="R69" s="419"/>
      <c r="S69" s="419"/>
      <c r="T69" s="419"/>
      <c r="U69" s="419"/>
      <c r="V69" s="419"/>
      <c r="W69" s="419"/>
      <c r="X69" s="419"/>
    </row>
    <row r="70" spans="1:24" s="3" customFormat="1" ht="14.25" customHeight="1" thickBot="1" x14ac:dyDescent="0.3">
      <c r="A70" s="76" t="s">
        <v>60</v>
      </c>
      <c r="B70" s="172">
        <v>49571.040489999985</v>
      </c>
      <c r="C70" s="54">
        <v>53440.661900000014</v>
      </c>
      <c r="D70" s="172">
        <v>55614</v>
      </c>
      <c r="E70" s="40">
        <v>56633</v>
      </c>
      <c r="F70" s="40">
        <v>57262</v>
      </c>
      <c r="G70" s="283">
        <v>57709</v>
      </c>
      <c r="H70" s="293">
        <v>57936</v>
      </c>
      <c r="I70" s="184"/>
      <c r="J70" s="132"/>
      <c r="K70" s="164"/>
      <c r="L70" s="164"/>
      <c r="M70" s="164"/>
      <c r="N70" s="164"/>
      <c r="O70" s="164"/>
      <c r="P70" s="164"/>
      <c r="Q70" s="164"/>
      <c r="R70" s="419"/>
      <c r="S70" s="419"/>
      <c r="T70" s="419"/>
      <c r="U70" s="419"/>
      <c r="V70" s="419"/>
      <c r="W70" s="419"/>
      <c r="X70" s="419"/>
    </row>
    <row r="71" spans="1:24" s="3" customFormat="1" ht="14.25" customHeight="1" thickBot="1" x14ac:dyDescent="0.3">
      <c r="A71" s="78" t="s">
        <v>61</v>
      </c>
      <c r="B71" s="173">
        <f t="shared" ref="B71:H71" si="17">B38+B35+B30+B18+B5</f>
        <v>23146171.791170001</v>
      </c>
      <c r="C71" s="80">
        <f t="shared" si="17"/>
        <v>25131958.59747</v>
      </c>
      <c r="D71" s="173">
        <f t="shared" si="17"/>
        <v>26656392</v>
      </c>
      <c r="E71" s="82">
        <f t="shared" si="17"/>
        <v>26928880</v>
      </c>
      <c r="F71" s="82">
        <f t="shared" si="17"/>
        <v>28160976</v>
      </c>
      <c r="G71" s="238">
        <f t="shared" si="17"/>
        <v>29495802</v>
      </c>
      <c r="H71" s="304">
        <f t="shared" si="17"/>
        <v>30694538</v>
      </c>
      <c r="I71" s="184"/>
      <c r="J71" s="420"/>
      <c r="K71" s="164"/>
      <c r="L71" s="164"/>
      <c r="M71" s="164"/>
      <c r="N71" s="164"/>
      <c r="O71" s="164"/>
      <c r="P71" s="164"/>
      <c r="Q71" s="164"/>
      <c r="R71" s="419"/>
      <c r="S71" s="419"/>
      <c r="T71" s="419"/>
      <c r="U71" s="419"/>
      <c r="V71" s="419"/>
      <c r="W71" s="419"/>
      <c r="X71" s="419"/>
    </row>
    <row r="72" spans="1:24" s="3" customFormat="1" ht="13.5" customHeight="1" x14ac:dyDescent="0.25">
      <c r="A72" s="83" t="s">
        <v>62</v>
      </c>
      <c r="B72" s="170">
        <f>B9+B13+B17+B19+B20+B30+B47+B52+B54+B39+B40+B43+B44+B42+B16</f>
        <v>18316679.824750002</v>
      </c>
      <c r="C72" s="84">
        <f>C9+C13+C17+C19+C20+C30+C47+C52+C54+C39+C40+C43+C44+C42+C51+C16</f>
        <v>20605704.857089996</v>
      </c>
      <c r="D72" s="233">
        <f>D9+D13+D17+D19+D20+D30+D47+D52+D54+D39+D40+D43+D44+D42+D51+D16+D49-332</f>
        <v>21755545</v>
      </c>
      <c r="E72" s="85">
        <f t="shared" ref="E72:H72" si="18">E9+E13+E17+E19+E20+E30+E47+E52+E54+E39+E40+E43+E44+E42+E51+E16+E49</f>
        <v>21809747</v>
      </c>
      <c r="F72" s="85">
        <f t="shared" si="18"/>
        <v>22827599</v>
      </c>
      <c r="G72" s="299">
        <f t="shared" si="18"/>
        <v>23901103</v>
      </c>
      <c r="H72" s="296">
        <f t="shared" si="18"/>
        <v>24835951</v>
      </c>
      <c r="I72" s="184"/>
      <c r="J72" s="420"/>
      <c r="K72" s="164"/>
      <c r="L72" s="164"/>
      <c r="M72" s="164"/>
      <c r="N72" s="164"/>
      <c r="O72" s="164"/>
      <c r="P72" s="164"/>
      <c r="Q72" s="164"/>
      <c r="R72" s="419"/>
      <c r="S72" s="419"/>
      <c r="T72" s="419"/>
      <c r="U72" s="419"/>
      <c r="V72" s="419"/>
      <c r="W72" s="419"/>
      <c r="X72" s="419"/>
    </row>
    <row r="73" spans="1:24" s="3" customFormat="1" ht="13.5" customHeight="1" x14ac:dyDescent="0.25">
      <c r="A73" s="83" t="s">
        <v>63</v>
      </c>
      <c r="B73" s="233">
        <f t="shared" ref="B73:C73" si="19">+B57</f>
        <v>35083.258679999999</v>
      </c>
      <c r="C73" s="84">
        <f t="shared" si="19"/>
        <v>39251.162120000001</v>
      </c>
      <c r="D73" s="233">
        <f t="shared" ref="D73" si="20">+D57</f>
        <v>44734</v>
      </c>
      <c r="E73" s="85">
        <f t="shared" ref="E73:H73" si="21">+E57</f>
        <v>56651</v>
      </c>
      <c r="F73" s="85">
        <f t="shared" si="21"/>
        <v>60839</v>
      </c>
      <c r="G73" s="299">
        <f t="shared" si="21"/>
        <v>63896</v>
      </c>
      <c r="H73" s="296">
        <f t="shared" si="21"/>
        <v>67549</v>
      </c>
      <c r="I73" s="184"/>
      <c r="J73" s="420"/>
      <c r="K73" s="164"/>
      <c r="L73" s="164"/>
      <c r="M73" s="164"/>
      <c r="N73" s="164"/>
      <c r="O73" s="164"/>
      <c r="P73" s="164"/>
      <c r="Q73" s="164"/>
      <c r="R73" s="419"/>
      <c r="S73" s="419"/>
      <c r="T73" s="419"/>
      <c r="U73" s="419"/>
      <c r="V73" s="419"/>
      <c r="W73" s="419"/>
      <c r="X73" s="419"/>
    </row>
    <row r="74" spans="1:24" s="3" customFormat="1" ht="13.5" customHeight="1" x14ac:dyDescent="0.25">
      <c r="A74" s="24" t="s">
        <v>64</v>
      </c>
      <c r="B74" s="233">
        <v>0</v>
      </c>
      <c r="C74" s="26">
        <v>0</v>
      </c>
      <c r="D74" s="170">
        <v>0</v>
      </c>
      <c r="E74" s="28">
        <v>0</v>
      </c>
      <c r="F74" s="28">
        <v>0</v>
      </c>
      <c r="G74" s="55">
        <v>0</v>
      </c>
      <c r="H74" s="291">
        <v>0</v>
      </c>
      <c r="I74" s="184"/>
      <c r="J74" s="420"/>
      <c r="K74" s="164"/>
      <c r="L74" s="164"/>
      <c r="M74" s="164"/>
      <c r="N74" s="164"/>
      <c r="O74" s="164"/>
      <c r="P74" s="164"/>
      <c r="Q74" s="164"/>
      <c r="R74" s="419"/>
      <c r="S74" s="419"/>
      <c r="T74" s="419"/>
      <c r="U74" s="419"/>
      <c r="V74" s="419"/>
      <c r="W74" s="419"/>
      <c r="X74" s="419"/>
    </row>
    <row r="75" spans="1:24" s="3" customFormat="1" ht="13.5" customHeight="1" x14ac:dyDescent="0.25">
      <c r="A75" s="24" t="s">
        <v>65</v>
      </c>
      <c r="B75" s="170">
        <f t="shared" ref="B75:C75" si="22">B10+B36+B37+B48+B55+B14</f>
        <v>3625698.0204000003</v>
      </c>
      <c r="C75" s="26">
        <f t="shared" si="22"/>
        <v>3261157.8391000004</v>
      </c>
      <c r="D75" s="170">
        <f t="shared" ref="D75" si="23">D10+D36+D37+D48+D55+D14</f>
        <v>3508046</v>
      </c>
      <c r="E75" s="28">
        <f t="shared" ref="E75:H75" si="24">E10+E36+E37+E48+E55+E14</f>
        <v>3632771</v>
      </c>
      <c r="F75" s="28">
        <f t="shared" si="24"/>
        <v>3772610</v>
      </c>
      <c r="G75" s="55">
        <f t="shared" si="24"/>
        <v>3945585</v>
      </c>
      <c r="H75" s="291">
        <f t="shared" si="24"/>
        <v>4119625</v>
      </c>
      <c r="I75" s="184"/>
      <c r="J75" s="420"/>
      <c r="K75" s="164"/>
      <c r="L75" s="164"/>
      <c r="M75" s="164"/>
      <c r="N75" s="164"/>
      <c r="O75" s="164"/>
      <c r="P75" s="164"/>
      <c r="Q75" s="164"/>
      <c r="R75" s="419"/>
      <c r="S75" s="419"/>
      <c r="T75" s="419"/>
      <c r="U75" s="419"/>
      <c r="V75" s="419"/>
      <c r="W75" s="419"/>
      <c r="X75" s="419"/>
    </row>
    <row r="76" spans="1:24" s="3" customFormat="1" ht="13.5" customHeight="1" x14ac:dyDescent="0.25">
      <c r="A76" s="24" t="s">
        <v>66</v>
      </c>
      <c r="B76" s="170">
        <f t="shared" ref="B76:C76" si="25">B11+B56+B15</f>
        <v>1135545.6246100003</v>
      </c>
      <c r="C76" s="26">
        <f t="shared" si="25"/>
        <v>1196373.6997199999</v>
      </c>
      <c r="D76" s="170">
        <f t="shared" ref="D76" si="26">D11+D56+D15</f>
        <v>1319164</v>
      </c>
      <c r="E76" s="28">
        <f t="shared" ref="E76:H76" si="27">E11+E56+E15</f>
        <v>1412113</v>
      </c>
      <c r="F76" s="28">
        <f t="shared" si="27"/>
        <v>1481873</v>
      </c>
      <c r="G76" s="55">
        <f t="shared" si="27"/>
        <v>1566501</v>
      </c>
      <c r="H76" s="291">
        <f t="shared" si="27"/>
        <v>1652096</v>
      </c>
      <c r="I76" s="184"/>
      <c r="J76" s="420"/>
      <c r="K76" s="164"/>
      <c r="L76" s="164"/>
      <c r="M76" s="164"/>
      <c r="N76" s="164"/>
      <c r="O76" s="164"/>
      <c r="P76" s="164"/>
      <c r="Q76" s="164"/>
      <c r="R76" s="419"/>
      <c r="S76" s="419"/>
      <c r="T76" s="419"/>
      <c r="U76" s="419"/>
      <c r="V76" s="419"/>
      <c r="W76" s="419"/>
      <c r="X76" s="419"/>
    </row>
    <row r="77" spans="1:24" ht="13.5" customHeight="1" x14ac:dyDescent="0.25">
      <c r="A77" s="24" t="s">
        <v>67</v>
      </c>
      <c r="B77" s="170">
        <f t="shared" ref="B77:C77" si="28">+B45</f>
        <v>2117.90022</v>
      </c>
      <c r="C77" s="26">
        <f t="shared" si="28"/>
        <v>1242.38833</v>
      </c>
      <c r="D77" s="170">
        <f t="shared" ref="D77" si="29">+D45</f>
        <v>400</v>
      </c>
      <c r="E77" s="28">
        <f t="shared" ref="E77:H77" si="30">+E45</f>
        <v>0</v>
      </c>
      <c r="F77" s="28">
        <f t="shared" si="30"/>
        <v>0</v>
      </c>
      <c r="G77" s="55">
        <f t="shared" si="30"/>
        <v>0</v>
      </c>
      <c r="H77" s="291">
        <f t="shared" si="30"/>
        <v>0</v>
      </c>
      <c r="I77" s="184"/>
      <c r="J77" s="420"/>
      <c r="K77" s="164"/>
      <c r="L77" s="164"/>
      <c r="M77" s="164"/>
      <c r="N77" s="164"/>
      <c r="O77" s="164"/>
      <c r="P77" s="164"/>
      <c r="Q77" s="164"/>
      <c r="R77" s="419"/>
      <c r="S77" s="419"/>
      <c r="T77" s="419"/>
      <c r="U77" s="419"/>
      <c r="V77" s="419"/>
      <c r="W77" s="419"/>
      <c r="X77" s="419"/>
    </row>
    <row r="78" spans="1:24" ht="13.5" customHeight="1" x14ac:dyDescent="0.25">
      <c r="A78" s="24" t="s">
        <v>68</v>
      </c>
      <c r="B78" s="170">
        <f t="shared" ref="B78:C78" si="31">B49+B50</f>
        <v>31047.162509999998</v>
      </c>
      <c r="C78" s="26">
        <f t="shared" si="31"/>
        <v>28228.651109999999</v>
      </c>
      <c r="D78" s="170">
        <f>+D50+332</f>
        <v>28503</v>
      </c>
      <c r="E78" s="28">
        <f t="shared" ref="E78:H78" si="32">+E50</f>
        <v>17598</v>
      </c>
      <c r="F78" s="28">
        <f t="shared" si="32"/>
        <v>18055</v>
      </c>
      <c r="G78" s="55">
        <f t="shared" si="32"/>
        <v>18717</v>
      </c>
      <c r="H78" s="291">
        <f t="shared" si="32"/>
        <v>19317</v>
      </c>
      <c r="I78" s="184"/>
      <c r="J78" s="420"/>
      <c r="K78" s="164"/>
      <c r="L78" s="164"/>
      <c r="M78" s="164"/>
      <c r="N78" s="164"/>
      <c r="O78" s="164"/>
      <c r="P78" s="164"/>
      <c r="Q78" s="164"/>
      <c r="R78" s="419"/>
      <c r="S78" s="419"/>
      <c r="T78" s="419"/>
      <c r="U78" s="419"/>
      <c r="V78" s="419"/>
      <c r="W78" s="419"/>
      <c r="X78" s="419"/>
    </row>
    <row r="79" spans="1:24" ht="14.25" customHeight="1" thickBot="1" x14ac:dyDescent="0.3">
      <c r="A79" s="86" t="s">
        <v>69</v>
      </c>
      <c r="B79" s="174">
        <f t="shared" ref="B79:G79" si="33">B62</f>
        <v>17117883.199760035</v>
      </c>
      <c r="C79" s="87">
        <f t="shared" si="33"/>
        <v>18295760.706739929</v>
      </c>
      <c r="D79" s="245">
        <f t="shared" si="33"/>
        <v>19774851</v>
      </c>
      <c r="E79" s="88">
        <f t="shared" si="33"/>
        <v>20728053</v>
      </c>
      <c r="F79" s="88">
        <f t="shared" si="33"/>
        <v>21219934</v>
      </c>
      <c r="G79" s="309">
        <f t="shared" si="33"/>
        <v>22114150</v>
      </c>
      <c r="H79" s="305">
        <f t="shared" ref="H79" si="34">H62</f>
        <v>23013350</v>
      </c>
      <c r="I79" s="184"/>
      <c r="J79" s="420"/>
      <c r="K79" s="164"/>
      <c r="L79" s="164"/>
      <c r="M79" s="164"/>
      <c r="N79" s="164"/>
      <c r="O79" s="164"/>
      <c r="P79" s="164"/>
      <c r="Q79" s="164"/>
      <c r="R79" s="419"/>
      <c r="S79" s="419"/>
      <c r="T79" s="419"/>
      <c r="U79" s="419"/>
      <c r="V79" s="419"/>
      <c r="W79" s="419"/>
      <c r="X79" s="419"/>
    </row>
    <row r="80" spans="1:24" ht="14.25" customHeight="1" thickBot="1" x14ac:dyDescent="0.3">
      <c r="A80" s="89" t="s">
        <v>70</v>
      </c>
      <c r="B80" s="173">
        <f t="shared" ref="B80:G80" si="35">B71+B79</f>
        <v>40264054.990930036</v>
      </c>
      <c r="C80" s="90">
        <f t="shared" si="35"/>
        <v>43427719.304209933</v>
      </c>
      <c r="D80" s="246">
        <f t="shared" si="35"/>
        <v>46431243</v>
      </c>
      <c r="E80" s="239">
        <f t="shared" si="35"/>
        <v>47656933</v>
      </c>
      <c r="F80" s="239">
        <f t="shared" si="35"/>
        <v>49380910</v>
      </c>
      <c r="G80" s="310">
        <f t="shared" si="35"/>
        <v>51609952</v>
      </c>
      <c r="H80" s="306">
        <f t="shared" ref="H80" si="36">H71+H79</f>
        <v>53707888</v>
      </c>
      <c r="I80" s="184"/>
      <c r="J80" s="420"/>
      <c r="K80" s="164"/>
      <c r="L80" s="164"/>
      <c r="M80" s="164"/>
      <c r="N80" s="164"/>
      <c r="O80" s="164"/>
      <c r="P80" s="164"/>
      <c r="Q80" s="164"/>
      <c r="R80" s="419"/>
      <c r="S80" s="419"/>
      <c r="T80" s="419"/>
      <c r="U80" s="419"/>
      <c r="V80" s="419"/>
      <c r="W80" s="419"/>
      <c r="X80" s="419"/>
    </row>
    <row r="81" spans="1:24" ht="17.25" customHeight="1" thickBot="1" x14ac:dyDescent="0.35">
      <c r="A81" s="120"/>
      <c r="B81" s="338"/>
      <c r="C81" s="339"/>
      <c r="D81" s="339"/>
      <c r="E81" s="339"/>
      <c r="F81" s="339"/>
      <c r="G81" s="339"/>
      <c r="H81" s="339"/>
      <c r="I81" s="184"/>
      <c r="J81" s="184"/>
      <c r="K81" s="164"/>
      <c r="L81" s="164"/>
      <c r="M81" s="164"/>
      <c r="N81" s="164"/>
      <c r="O81" s="164"/>
      <c r="P81" s="164"/>
      <c r="Q81" s="164"/>
      <c r="R81" s="419"/>
      <c r="S81" s="419"/>
      <c r="T81" s="419"/>
      <c r="U81" s="419"/>
      <c r="V81" s="419"/>
      <c r="W81" s="419"/>
      <c r="X81" s="419"/>
    </row>
    <row r="82" spans="1:24" ht="14.25" customHeight="1" thickBot="1" x14ac:dyDescent="0.35">
      <c r="A82" s="177" t="s">
        <v>84</v>
      </c>
      <c r="B82" s="130">
        <v>1025707</v>
      </c>
      <c r="C82" s="127">
        <v>1052852</v>
      </c>
      <c r="D82" s="129">
        <v>1129595</v>
      </c>
      <c r="E82" s="130">
        <v>1158814</v>
      </c>
      <c r="F82" s="130">
        <v>1211485</v>
      </c>
      <c r="G82" s="131">
        <v>1265905</v>
      </c>
      <c r="H82" s="311">
        <v>1318162</v>
      </c>
      <c r="I82" s="184"/>
      <c r="J82" s="184"/>
      <c r="K82" s="164"/>
      <c r="L82" s="164"/>
      <c r="M82" s="164"/>
      <c r="N82" s="164"/>
      <c r="O82" s="164"/>
      <c r="P82" s="164"/>
      <c r="Q82" s="164"/>
      <c r="R82" s="419"/>
      <c r="S82" s="419"/>
      <c r="T82" s="419"/>
      <c r="U82" s="419"/>
      <c r="V82" s="419"/>
      <c r="W82" s="419"/>
      <c r="X82" s="419"/>
    </row>
    <row r="83" spans="1:24" ht="13.5" customHeight="1" x14ac:dyDescent="0.3">
      <c r="A83" s="179"/>
      <c r="B83" s="178"/>
      <c r="C83" s="178"/>
      <c r="D83" s="178"/>
      <c r="E83" s="178"/>
    </row>
    <row r="84" spans="1:24" ht="13.5" customHeight="1" x14ac:dyDescent="0.25">
      <c r="A84" s="247"/>
      <c r="B84" s="248"/>
      <c r="C84" s="248"/>
      <c r="D84" s="248"/>
      <c r="E84" s="248"/>
      <c r="F84" s="248"/>
      <c r="G84" s="248"/>
      <c r="H84" s="248"/>
      <c r="J84" s="184"/>
      <c r="K84" s="184"/>
      <c r="L84" s="184"/>
      <c r="M84" s="184"/>
      <c r="N84" s="184"/>
      <c r="O84" s="184"/>
      <c r="P84" s="184"/>
    </row>
    <row r="85" spans="1:24" x14ac:dyDescent="0.25">
      <c r="A85" s="247"/>
      <c r="B85" s="248"/>
      <c r="C85" s="248"/>
      <c r="D85" s="248"/>
      <c r="E85" s="248"/>
      <c r="F85" s="248"/>
      <c r="G85" s="248"/>
      <c r="H85" s="248"/>
    </row>
    <row r="86" spans="1:24" x14ac:dyDescent="0.25">
      <c r="B86" s="248"/>
      <c r="C86" s="248"/>
      <c r="D86" s="248"/>
      <c r="E86" s="248"/>
      <c r="F86" s="248"/>
      <c r="G86" s="248"/>
      <c r="H86" s="248"/>
    </row>
    <row r="87" spans="1:24" x14ac:dyDescent="0.25">
      <c r="B87" s="248"/>
      <c r="C87" s="248"/>
      <c r="D87" s="248"/>
      <c r="E87" s="248"/>
      <c r="F87" s="248"/>
      <c r="G87" s="248"/>
      <c r="H87" s="248"/>
    </row>
    <row r="88" spans="1:24" x14ac:dyDescent="0.25">
      <c r="B88" s="248"/>
      <c r="C88" s="248"/>
      <c r="D88" s="248"/>
      <c r="E88" s="248"/>
      <c r="F88" s="248"/>
      <c r="G88" s="248"/>
      <c r="H88" s="248"/>
    </row>
    <row r="89" spans="1:24" x14ac:dyDescent="0.25">
      <c r="B89" s="248"/>
      <c r="C89" s="248"/>
      <c r="D89" s="248"/>
      <c r="E89" s="248"/>
      <c r="F89" s="248"/>
      <c r="G89" s="248"/>
      <c r="H89" s="248"/>
    </row>
    <row r="90" spans="1:24" x14ac:dyDescent="0.25">
      <c r="B90" s="248"/>
      <c r="C90" s="248"/>
      <c r="D90" s="248"/>
      <c r="E90" s="248"/>
      <c r="F90" s="248"/>
      <c r="G90" s="248"/>
      <c r="H90" s="248"/>
    </row>
    <row r="91" spans="1:24" x14ac:dyDescent="0.25">
      <c r="B91" s="248"/>
      <c r="C91" s="248"/>
      <c r="D91" s="248"/>
      <c r="E91" s="248"/>
      <c r="F91" s="248"/>
      <c r="G91" s="248"/>
      <c r="H91" s="248"/>
    </row>
    <row r="92" spans="1:24" x14ac:dyDescent="0.25">
      <c r="B92" s="248"/>
      <c r="C92" s="248"/>
      <c r="D92" s="248"/>
      <c r="E92" s="248"/>
      <c r="F92" s="248"/>
      <c r="G92" s="248"/>
      <c r="H92" s="248"/>
    </row>
    <row r="93" spans="1:24" x14ac:dyDescent="0.25">
      <c r="B93" s="248"/>
      <c r="C93" s="248"/>
      <c r="D93" s="248"/>
      <c r="E93" s="248"/>
      <c r="F93" s="248"/>
      <c r="G93" s="248"/>
      <c r="H93" s="248"/>
    </row>
    <row r="94" spans="1:24" x14ac:dyDescent="0.25">
      <c r="B94" s="248"/>
      <c r="C94" s="248"/>
      <c r="D94" s="248"/>
      <c r="E94" s="248"/>
      <c r="F94" s="248"/>
      <c r="G94" s="248"/>
      <c r="H94" s="248"/>
    </row>
    <row r="95" spans="1:24" x14ac:dyDescent="0.25">
      <c r="B95" s="248"/>
      <c r="C95" s="248"/>
      <c r="D95" s="248"/>
      <c r="E95" s="248"/>
      <c r="F95" s="248"/>
      <c r="G95" s="248"/>
      <c r="H95" s="248"/>
    </row>
    <row r="96" spans="1:24" x14ac:dyDescent="0.25">
      <c r="B96" s="248"/>
      <c r="C96" s="248"/>
      <c r="D96" s="248"/>
      <c r="E96" s="248"/>
      <c r="F96" s="248"/>
      <c r="G96" s="248"/>
      <c r="H96" s="248"/>
    </row>
    <row r="97" spans="2:8" x14ac:dyDescent="0.25">
      <c r="B97" s="248"/>
      <c r="C97" s="248"/>
      <c r="D97" s="248"/>
      <c r="E97" s="248"/>
      <c r="F97" s="248"/>
      <c r="G97" s="248"/>
      <c r="H97" s="248"/>
    </row>
    <row r="98" spans="2:8" x14ac:dyDescent="0.25">
      <c r="B98" s="248"/>
      <c r="C98" s="248"/>
      <c r="D98" s="248"/>
      <c r="E98" s="248"/>
      <c r="F98" s="248"/>
      <c r="G98" s="248"/>
      <c r="H98" s="248"/>
    </row>
    <row r="99" spans="2:8" x14ac:dyDescent="0.25">
      <c r="B99" s="248"/>
      <c r="C99" s="248"/>
      <c r="D99" s="248"/>
      <c r="E99" s="248"/>
      <c r="F99" s="248"/>
      <c r="G99" s="248"/>
      <c r="H99" s="248"/>
    </row>
    <row r="100" spans="2:8" x14ac:dyDescent="0.25">
      <c r="B100" s="272"/>
      <c r="C100" s="272"/>
      <c r="D100" s="272"/>
      <c r="E100" s="272"/>
      <c r="F100" s="272"/>
      <c r="G100" s="272"/>
      <c r="H100" s="272"/>
    </row>
    <row r="101" spans="2:8" x14ac:dyDescent="0.25">
      <c r="B101" s="272"/>
      <c r="C101" s="272"/>
      <c r="D101" s="272"/>
      <c r="E101" s="272"/>
      <c r="F101" s="272"/>
      <c r="G101" s="272"/>
      <c r="H101" s="272"/>
    </row>
    <row r="102" spans="2:8" x14ac:dyDescent="0.25">
      <c r="B102" s="272"/>
      <c r="C102" s="272"/>
      <c r="D102" s="272"/>
      <c r="E102" s="272"/>
      <c r="F102" s="272"/>
      <c r="G102" s="272"/>
      <c r="H102" s="27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9"/>
  <sheetViews>
    <sheetView showGridLines="0" workbookViewId="0">
      <selection activeCell="M32" sqref="M32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8" ht="16.5" customHeight="1" x14ac:dyDescent="0.3">
      <c r="A1" s="4" t="s">
        <v>99</v>
      </c>
      <c r="B1" s="180"/>
      <c r="C1" s="180"/>
    </row>
    <row r="2" spans="1:18" ht="17.25" customHeight="1" thickBot="1" x14ac:dyDescent="0.35">
      <c r="A2" s="181"/>
      <c r="B2" s="180"/>
      <c r="C2" s="180"/>
    </row>
    <row r="3" spans="1:18" ht="13.5" customHeight="1" thickBot="1" x14ac:dyDescent="0.3">
      <c r="A3" s="8" t="s">
        <v>1</v>
      </c>
      <c r="B3" s="182" t="s">
        <v>2</v>
      </c>
      <c r="C3" s="10" t="s">
        <v>3</v>
      </c>
      <c r="D3" s="422" t="s">
        <v>4</v>
      </c>
      <c r="E3" s="423"/>
      <c r="F3" s="423"/>
      <c r="G3" s="423"/>
      <c r="H3" s="424"/>
    </row>
    <row r="4" spans="1:18" ht="14.25" customHeight="1" thickBot="1" x14ac:dyDescent="0.3">
      <c r="A4" s="183"/>
      <c r="B4" s="176">
        <v>2024</v>
      </c>
      <c r="C4" s="175">
        <v>2025</v>
      </c>
      <c r="D4" s="288">
        <v>2026</v>
      </c>
      <c r="E4" s="289">
        <v>2027</v>
      </c>
      <c r="F4" s="289">
        <v>2028</v>
      </c>
      <c r="G4" s="297">
        <v>2029</v>
      </c>
      <c r="H4" s="290">
        <v>2030</v>
      </c>
    </row>
    <row r="5" spans="1:18" ht="13.5" customHeight="1" x14ac:dyDescent="0.25">
      <c r="A5" s="16" t="s">
        <v>5</v>
      </c>
      <c r="B5" s="274">
        <f t="shared" ref="B5:H5" si="0">B6+B12+B13</f>
        <v>26729.069560000527</v>
      </c>
      <c r="C5" s="66">
        <f t="shared" si="0"/>
        <v>32608.129490000774</v>
      </c>
      <c r="D5" s="65">
        <f t="shared" si="0"/>
        <v>27147</v>
      </c>
      <c r="E5" s="67">
        <f t="shared" si="0"/>
        <v>27147</v>
      </c>
      <c r="F5" s="67">
        <f t="shared" si="0"/>
        <v>27147</v>
      </c>
      <c r="G5" s="285">
        <f t="shared" si="0"/>
        <v>27147</v>
      </c>
      <c r="H5" s="403">
        <f t="shared" si="0"/>
        <v>27147</v>
      </c>
      <c r="I5" s="184"/>
      <c r="J5" s="23"/>
      <c r="K5" s="23"/>
      <c r="L5" s="23"/>
      <c r="M5" s="23"/>
      <c r="N5" s="23"/>
      <c r="O5" s="23"/>
      <c r="P5" s="23"/>
      <c r="Q5" s="23"/>
      <c r="R5" s="23"/>
    </row>
    <row r="6" spans="1:18" ht="13.5" customHeight="1" x14ac:dyDescent="0.25">
      <c r="A6" s="24" t="s">
        <v>7</v>
      </c>
      <c r="B6" s="170">
        <f t="shared" ref="B6:H6" si="1">B7+B8</f>
        <v>8290.2351800000288</v>
      </c>
      <c r="C6" s="26">
        <f t="shared" si="1"/>
        <v>5158.0818699998299</v>
      </c>
      <c r="D6" s="25">
        <f t="shared" si="1"/>
        <v>4425</v>
      </c>
      <c r="E6" s="28">
        <f t="shared" si="1"/>
        <v>4425</v>
      </c>
      <c r="F6" s="28">
        <f t="shared" si="1"/>
        <v>4425</v>
      </c>
      <c r="G6" s="55">
        <f t="shared" si="1"/>
        <v>4425</v>
      </c>
      <c r="H6" s="291">
        <f t="shared" si="1"/>
        <v>4425</v>
      </c>
      <c r="I6" s="184"/>
      <c r="J6" s="23"/>
      <c r="K6" s="23"/>
      <c r="L6" s="23"/>
      <c r="M6" s="23"/>
      <c r="N6" s="23"/>
      <c r="O6" s="23"/>
      <c r="P6" s="23"/>
      <c r="Q6" s="23"/>
    </row>
    <row r="7" spans="1:18" ht="13.5" customHeight="1" x14ac:dyDescent="0.25">
      <c r="A7" s="29" t="s">
        <v>8</v>
      </c>
      <c r="B7" s="170">
        <v>4035.1549500000283</v>
      </c>
      <c r="C7" s="26">
        <v>2424.78140999985</v>
      </c>
      <c r="D7" s="25">
        <v>2425</v>
      </c>
      <c r="E7" s="28">
        <v>2425</v>
      </c>
      <c r="F7" s="28">
        <v>2425</v>
      </c>
      <c r="G7" s="55">
        <v>2425</v>
      </c>
      <c r="H7" s="291">
        <v>2425</v>
      </c>
      <c r="I7" s="184"/>
      <c r="J7" s="23"/>
      <c r="K7" s="23"/>
      <c r="L7" s="23"/>
      <c r="M7" s="23"/>
      <c r="N7" s="23"/>
      <c r="O7" s="23"/>
      <c r="P7" s="23"/>
      <c r="Q7" s="23"/>
    </row>
    <row r="8" spans="1:18" ht="13.5" customHeight="1" x14ac:dyDescent="0.25">
      <c r="A8" s="29" t="s">
        <v>9</v>
      </c>
      <c r="B8" s="170">
        <v>4255.0802299999996</v>
      </c>
      <c r="C8" s="26">
        <v>2733.3004599999799</v>
      </c>
      <c r="D8" s="25">
        <v>2000</v>
      </c>
      <c r="E8" s="28">
        <v>2000</v>
      </c>
      <c r="F8" s="28">
        <v>2000</v>
      </c>
      <c r="G8" s="55">
        <v>2000</v>
      </c>
      <c r="H8" s="291">
        <v>2000</v>
      </c>
      <c r="I8" s="184"/>
      <c r="J8" s="23"/>
      <c r="K8" s="23"/>
      <c r="L8" s="23"/>
      <c r="M8" s="23"/>
      <c r="N8" s="23"/>
      <c r="O8" s="23"/>
      <c r="P8" s="23"/>
      <c r="Q8" s="23"/>
    </row>
    <row r="9" spans="1:18" ht="13.5" customHeight="1" x14ac:dyDescent="0.25">
      <c r="A9" s="36" t="s">
        <v>10</v>
      </c>
      <c r="B9" s="170">
        <v>-3.8778199999705976</v>
      </c>
      <c r="C9" s="26">
        <v>846.4198699998301</v>
      </c>
      <c r="D9" s="25">
        <v>784</v>
      </c>
      <c r="E9" s="28">
        <v>769</v>
      </c>
      <c r="F9" s="28">
        <v>793</v>
      </c>
      <c r="G9" s="55">
        <v>783</v>
      </c>
      <c r="H9" s="291">
        <v>785</v>
      </c>
      <c r="I9" s="184"/>
      <c r="J9" s="23"/>
      <c r="K9" s="23"/>
      <c r="L9" s="23"/>
      <c r="M9" s="23"/>
      <c r="N9" s="23"/>
      <c r="O9" s="23"/>
      <c r="P9" s="23"/>
      <c r="Q9" s="23"/>
    </row>
    <row r="10" spans="1:18" ht="13.5" customHeight="1" x14ac:dyDescent="0.25">
      <c r="A10" s="36" t="s">
        <v>11</v>
      </c>
      <c r="B10" s="170">
        <v>5805.8799999999992</v>
      </c>
      <c r="C10" s="26">
        <v>2809.5169999999998</v>
      </c>
      <c r="D10" s="25">
        <v>2365</v>
      </c>
      <c r="E10" s="28">
        <v>2355</v>
      </c>
      <c r="F10" s="28">
        <v>2339</v>
      </c>
      <c r="G10" s="55">
        <v>2345</v>
      </c>
      <c r="H10" s="291">
        <v>2344</v>
      </c>
      <c r="I10" s="184"/>
      <c r="J10" s="23"/>
      <c r="K10" s="23"/>
      <c r="L10" s="23"/>
      <c r="M10" s="23"/>
      <c r="N10" s="23"/>
      <c r="O10" s="23"/>
      <c r="P10" s="23"/>
      <c r="Q10" s="23"/>
    </row>
    <row r="11" spans="1:18" ht="13.5" customHeight="1" x14ac:dyDescent="0.25">
      <c r="A11" s="36" t="s">
        <v>12</v>
      </c>
      <c r="B11" s="170">
        <v>2488.2330000000002</v>
      </c>
      <c r="C11" s="26">
        <v>1502.145</v>
      </c>
      <c r="D11" s="25">
        <v>1276</v>
      </c>
      <c r="E11" s="28">
        <v>1301</v>
      </c>
      <c r="F11" s="28">
        <v>1293</v>
      </c>
      <c r="G11" s="55">
        <v>1297</v>
      </c>
      <c r="H11" s="291">
        <v>1296</v>
      </c>
      <c r="I11" s="184"/>
      <c r="J11" s="23"/>
      <c r="K11" s="23"/>
      <c r="L11" s="23"/>
      <c r="M11" s="23"/>
      <c r="N11" s="23"/>
      <c r="O11" s="23"/>
      <c r="P11" s="23"/>
      <c r="Q11" s="23"/>
    </row>
    <row r="12" spans="1:18" ht="13.5" customHeight="1" x14ac:dyDescent="0.25">
      <c r="A12" s="24" t="s">
        <v>14</v>
      </c>
      <c r="B12" s="170">
        <v>17854.8389400005</v>
      </c>
      <c r="C12" s="26">
        <v>27310.766290000902</v>
      </c>
      <c r="D12" s="25">
        <v>22583</v>
      </c>
      <c r="E12" s="28">
        <v>22583</v>
      </c>
      <c r="F12" s="28">
        <v>22583</v>
      </c>
      <c r="G12" s="55">
        <v>22583</v>
      </c>
      <c r="H12" s="291">
        <v>22583</v>
      </c>
      <c r="I12" s="184"/>
      <c r="J12" s="23"/>
      <c r="K12" s="23"/>
      <c r="L12" s="23"/>
      <c r="M12" s="23"/>
      <c r="N12" s="23"/>
      <c r="O12" s="23"/>
      <c r="P12" s="23"/>
      <c r="Q12" s="23"/>
    </row>
    <row r="13" spans="1:18" ht="13.5" customHeight="1" x14ac:dyDescent="0.25">
      <c r="A13" s="24" t="s">
        <v>15</v>
      </c>
      <c r="B13" s="170">
        <v>583.99543999999798</v>
      </c>
      <c r="C13" s="26">
        <v>139.281330000043</v>
      </c>
      <c r="D13" s="25">
        <v>139</v>
      </c>
      <c r="E13" s="28">
        <v>139</v>
      </c>
      <c r="F13" s="28">
        <v>139</v>
      </c>
      <c r="G13" s="55">
        <v>139</v>
      </c>
      <c r="H13" s="291">
        <v>139</v>
      </c>
      <c r="I13" s="184"/>
      <c r="J13" s="23"/>
      <c r="K13" s="23"/>
      <c r="L13" s="23"/>
      <c r="M13" s="23"/>
      <c r="N13" s="23"/>
      <c r="O13" s="23"/>
      <c r="P13" s="23"/>
      <c r="Q13" s="23"/>
    </row>
    <row r="14" spans="1:18" ht="13.5" customHeight="1" x14ac:dyDescent="0.25">
      <c r="A14" s="41" t="s">
        <v>16</v>
      </c>
      <c r="B14" s="171">
        <f t="shared" ref="B14:H14" si="2">B15+B16</f>
        <v>17876.899649999992</v>
      </c>
      <c r="C14" s="43">
        <f t="shared" si="2"/>
        <v>13961.162019999396</v>
      </c>
      <c r="D14" s="42">
        <f t="shared" si="2"/>
        <v>7275</v>
      </c>
      <c r="E14" s="45">
        <f t="shared" si="2"/>
        <v>14452</v>
      </c>
      <c r="F14" s="45">
        <f t="shared" si="2"/>
        <v>15052</v>
      </c>
      <c r="G14" s="282">
        <f t="shared" si="2"/>
        <v>15666</v>
      </c>
      <c r="H14" s="292">
        <f t="shared" si="2"/>
        <v>16387</v>
      </c>
      <c r="I14" s="184"/>
      <c r="J14" s="23"/>
      <c r="K14" s="23"/>
      <c r="L14" s="23"/>
      <c r="M14" s="23"/>
      <c r="N14" s="23"/>
      <c r="O14" s="23"/>
      <c r="P14" s="23"/>
      <c r="Q14" s="23"/>
    </row>
    <row r="15" spans="1:18" ht="13.5" customHeight="1" x14ac:dyDescent="0.25">
      <c r="A15" s="24" t="s">
        <v>17</v>
      </c>
      <c r="B15" s="170">
        <v>17876.899649999992</v>
      </c>
      <c r="C15" s="26">
        <v>13958.456389999401</v>
      </c>
      <c r="D15" s="25">
        <v>7275</v>
      </c>
      <c r="E15" s="28">
        <v>14452</v>
      </c>
      <c r="F15" s="28">
        <v>15052</v>
      </c>
      <c r="G15" s="55">
        <v>15666</v>
      </c>
      <c r="H15" s="291">
        <v>16387</v>
      </c>
      <c r="I15" s="184"/>
      <c r="J15" s="23"/>
      <c r="K15" s="23"/>
      <c r="L15" s="23"/>
      <c r="M15" s="23"/>
      <c r="N15" s="23"/>
      <c r="O15" s="23"/>
      <c r="P15" s="23"/>
      <c r="Q15" s="23"/>
    </row>
    <row r="16" spans="1:18" ht="13.5" customHeight="1" x14ac:dyDescent="0.25">
      <c r="A16" s="24" t="s">
        <v>18</v>
      </c>
      <c r="B16" s="170">
        <f>SUM(B17:B25)</f>
        <v>0</v>
      </c>
      <c r="C16" s="26">
        <f>SUM(C17:C25)</f>
        <v>2.7056299999952302</v>
      </c>
      <c r="D16" s="25">
        <f t="shared" ref="D16:H16" si="3">SUM(D17:D25)</f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291">
        <f t="shared" si="3"/>
        <v>0</v>
      </c>
      <c r="I16" s="184"/>
      <c r="J16" s="23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9" t="s">
        <v>19</v>
      </c>
      <c r="B17" s="170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291">
        <v>0</v>
      </c>
      <c r="I17" s="184"/>
      <c r="J17" s="23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29" t="s">
        <v>20</v>
      </c>
      <c r="B18" s="170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291">
        <v>0</v>
      </c>
      <c r="I18" s="184"/>
      <c r="J18" s="23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9" t="s">
        <v>21</v>
      </c>
      <c r="B19" s="170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291">
        <v>0</v>
      </c>
      <c r="I19" s="184"/>
      <c r="J19" s="23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9" t="s">
        <v>22</v>
      </c>
      <c r="B20" s="170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291">
        <v>0</v>
      </c>
      <c r="I20" s="184"/>
      <c r="J20" s="23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23</v>
      </c>
      <c r="B21" s="170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291">
        <v>0</v>
      </c>
      <c r="I21" s="184"/>
      <c r="J21" s="23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24</v>
      </c>
      <c r="B22" s="170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291">
        <v>0</v>
      </c>
      <c r="I22" s="184"/>
      <c r="J22" s="23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25</v>
      </c>
      <c r="B23" s="170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291">
        <v>0</v>
      </c>
      <c r="I23" s="184"/>
      <c r="J23" s="23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26</v>
      </c>
      <c r="B24" s="170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291">
        <v>0</v>
      </c>
      <c r="I24" s="184"/>
      <c r="J24" s="23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103</v>
      </c>
      <c r="B25" s="170">
        <v>0</v>
      </c>
      <c r="C25" s="26">
        <v>2.7056299999952302</v>
      </c>
      <c r="D25" s="25">
        <v>0</v>
      </c>
      <c r="E25" s="28">
        <v>0</v>
      </c>
      <c r="F25" s="28">
        <v>0</v>
      </c>
      <c r="G25" s="55">
        <v>0</v>
      </c>
      <c r="H25" s="291">
        <v>0</v>
      </c>
      <c r="I25" s="184"/>
      <c r="J25" s="23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41" t="s">
        <v>27</v>
      </c>
      <c r="B26" s="171">
        <f t="shared" ref="B26:G26" si="4">SUM(B27:B30)</f>
        <v>0</v>
      </c>
      <c r="C26" s="43">
        <f t="shared" si="4"/>
        <v>0</v>
      </c>
      <c r="D26" s="42">
        <f t="shared" si="4"/>
        <v>0</v>
      </c>
      <c r="E26" s="45">
        <f t="shared" si="4"/>
        <v>0</v>
      </c>
      <c r="F26" s="45">
        <f t="shared" si="4"/>
        <v>0</v>
      </c>
      <c r="G26" s="282">
        <f t="shared" si="4"/>
        <v>0</v>
      </c>
      <c r="H26" s="292">
        <f t="shared" ref="H26" si="5">SUM(H27:H30)</f>
        <v>0</v>
      </c>
      <c r="I26" s="184"/>
      <c r="J26" s="23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4" t="s">
        <v>28</v>
      </c>
      <c r="B27" s="170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291">
        <v>0</v>
      </c>
      <c r="I27" s="184"/>
      <c r="J27" s="23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4" t="s">
        <v>29</v>
      </c>
      <c r="B28" s="170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291">
        <v>0</v>
      </c>
      <c r="I28" s="184"/>
      <c r="J28" s="23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4" t="s">
        <v>30</v>
      </c>
      <c r="B29" s="170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291">
        <v>0</v>
      </c>
      <c r="I29" s="184"/>
      <c r="J29" s="23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24" t="s">
        <v>31</v>
      </c>
      <c r="B30" s="170">
        <v>0</v>
      </c>
      <c r="C30" s="26">
        <v>0</v>
      </c>
      <c r="D30" s="25">
        <v>0</v>
      </c>
      <c r="E30" s="28">
        <v>0</v>
      </c>
      <c r="F30" s="28">
        <v>0</v>
      </c>
      <c r="G30" s="55">
        <v>0</v>
      </c>
      <c r="H30" s="291">
        <v>0</v>
      </c>
      <c r="I30" s="184"/>
      <c r="J30" s="23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41" t="s">
        <v>32</v>
      </c>
      <c r="B31" s="171">
        <f t="shared" ref="B31" si="6">SUM(B32:B34)</f>
        <v>0</v>
      </c>
      <c r="C31" s="43">
        <f t="shared" ref="C31:H31" si="7">SUM(C32:C34)</f>
        <v>0</v>
      </c>
      <c r="D31" s="42">
        <f t="shared" si="7"/>
        <v>0</v>
      </c>
      <c r="E31" s="45">
        <f t="shared" si="7"/>
        <v>0</v>
      </c>
      <c r="F31" s="45">
        <f t="shared" si="7"/>
        <v>0</v>
      </c>
      <c r="G31" s="282">
        <f t="shared" si="7"/>
        <v>0</v>
      </c>
      <c r="H31" s="292">
        <f t="shared" si="7"/>
        <v>0</v>
      </c>
      <c r="I31" s="184"/>
      <c r="J31" s="23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33</v>
      </c>
      <c r="B32" s="170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291">
        <v>0</v>
      </c>
      <c r="I32" s="184"/>
      <c r="J32" s="23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34</v>
      </c>
      <c r="B33" s="170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291">
        <v>0</v>
      </c>
      <c r="I33" s="184"/>
      <c r="J33" s="23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35</v>
      </c>
      <c r="B34" s="170">
        <v>0</v>
      </c>
      <c r="C34" s="26">
        <v>0</v>
      </c>
      <c r="D34" s="25">
        <v>0</v>
      </c>
      <c r="E34" s="28">
        <v>0</v>
      </c>
      <c r="F34" s="28">
        <v>0</v>
      </c>
      <c r="G34" s="55">
        <v>0</v>
      </c>
      <c r="H34" s="291">
        <v>0</v>
      </c>
      <c r="I34" s="184"/>
      <c r="J34" s="23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37</v>
      </c>
      <c r="B35" s="171">
        <f t="shared" ref="B35:H35" si="8">SUM(B36:B41,B44:B47)</f>
        <v>2915.3042599999999</v>
      </c>
      <c r="C35" s="43">
        <f t="shared" si="8"/>
        <v>1768.0660799999926</v>
      </c>
      <c r="D35" s="42">
        <f t="shared" si="8"/>
        <v>864</v>
      </c>
      <c r="E35" s="45">
        <f t="shared" si="8"/>
        <v>857</v>
      </c>
      <c r="F35" s="45">
        <f t="shared" si="8"/>
        <v>857</v>
      </c>
      <c r="G35" s="282">
        <f t="shared" si="8"/>
        <v>857</v>
      </c>
      <c r="H35" s="292">
        <f t="shared" si="8"/>
        <v>857</v>
      </c>
      <c r="I35" s="184"/>
      <c r="J35" s="23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38</v>
      </c>
      <c r="B36" s="170">
        <v>0</v>
      </c>
      <c r="C36" s="26">
        <v>0</v>
      </c>
      <c r="D36" s="25">
        <v>0</v>
      </c>
      <c r="E36" s="28">
        <v>0</v>
      </c>
      <c r="F36" s="28">
        <v>0</v>
      </c>
      <c r="G36" s="55">
        <v>0</v>
      </c>
      <c r="H36" s="291">
        <v>0</v>
      </c>
      <c r="I36" s="184"/>
      <c r="J36" s="23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39</v>
      </c>
      <c r="B37" s="170">
        <v>1800.9303600000001</v>
      </c>
      <c r="C37" s="26">
        <v>1022.01256</v>
      </c>
      <c r="D37" s="25">
        <v>857</v>
      </c>
      <c r="E37" s="28">
        <v>857</v>
      </c>
      <c r="F37" s="28">
        <v>857</v>
      </c>
      <c r="G37" s="55">
        <v>857</v>
      </c>
      <c r="H37" s="291">
        <v>857</v>
      </c>
      <c r="I37" s="184"/>
      <c r="J37" s="23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24" t="s">
        <v>41</v>
      </c>
      <c r="B38" s="170">
        <v>518.85969999999998</v>
      </c>
      <c r="C38" s="26">
        <v>481.95011000001398</v>
      </c>
      <c r="D38" s="25">
        <v>0</v>
      </c>
      <c r="E38" s="28">
        <v>0</v>
      </c>
      <c r="F38" s="28">
        <v>0</v>
      </c>
      <c r="G38" s="55">
        <v>0</v>
      </c>
      <c r="H38" s="291">
        <v>0</v>
      </c>
      <c r="I38" s="184"/>
      <c r="J38" s="23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24" t="s">
        <v>89</v>
      </c>
      <c r="B39" s="170">
        <v>28.6873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291">
        <v>0</v>
      </c>
      <c r="I39" s="184"/>
      <c r="J39" s="23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42</v>
      </c>
      <c r="B40" s="170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291">
        <v>0</v>
      </c>
      <c r="I40" s="184"/>
      <c r="J40" s="23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24" t="s">
        <v>43</v>
      </c>
      <c r="B41" s="170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23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36" t="s">
        <v>10</v>
      </c>
      <c r="B42" s="170">
        <v>0</v>
      </c>
      <c r="C42" s="26">
        <v>0</v>
      </c>
      <c r="D42" s="25">
        <v>0</v>
      </c>
      <c r="E42" s="28">
        <v>0</v>
      </c>
      <c r="F42" s="28">
        <v>0</v>
      </c>
      <c r="G42" s="55">
        <v>0</v>
      </c>
      <c r="H42" s="291">
        <v>0</v>
      </c>
      <c r="I42" s="184"/>
      <c r="J42" s="23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36" t="s">
        <v>11</v>
      </c>
      <c r="B43" s="170">
        <v>0</v>
      </c>
      <c r="C43" s="26">
        <v>0</v>
      </c>
      <c r="D43" s="25">
        <v>0</v>
      </c>
      <c r="E43" s="28">
        <v>0</v>
      </c>
      <c r="F43" s="28">
        <v>0</v>
      </c>
      <c r="G43" s="55">
        <v>0</v>
      </c>
      <c r="H43" s="291">
        <v>0</v>
      </c>
      <c r="I43" s="184"/>
      <c r="J43" s="23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24" t="s">
        <v>44</v>
      </c>
      <c r="B44" s="170">
        <v>0</v>
      </c>
      <c r="C44" s="26">
        <v>0</v>
      </c>
      <c r="D44" s="25">
        <v>0</v>
      </c>
      <c r="E44" s="28">
        <v>0</v>
      </c>
      <c r="F44" s="28">
        <v>0</v>
      </c>
      <c r="G44" s="55">
        <v>0</v>
      </c>
      <c r="H44" s="291">
        <v>0</v>
      </c>
      <c r="I44" s="184"/>
      <c r="J44" s="23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24" t="s">
        <v>92</v>
      </c>
      <c r="B45" s="170">
        <v>0</v>
      </c>
      <c r="C45" s="26">
        <v>4.9317799999713898</v>
      </c>
      <c r="D45" s="25">
        <v>0</v>
      </c>
      <c r="E45" s="28">
        <v>0</v>
      </c>
      <c r="F45" s="28">
        <v>0</v>
      </c>
      <c r="G45" s="55">
        <v>0</v>
      </c>
      <c r="H45" s="291">
        <v>0</v>
      </c>
      <c r="I45" s="184"/>
      <c r="J45" s="23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24" t="s">
        <v>46</v>
      </c>
      <c r="B46" s="170">
        <v>10.02215</v>
      </c>
      <c r="C46" s="26">
        <v>6.8780600000000005</v>
      </c>
      <c r="D46" s="25">
        <v>7</v>
      </c>
      <c r="E46" s="28">
        <v>0</v>
      </c>
      <c r="F46" s="28">
        <v>0</v>
      </c>
      <c r="G46" s="55">
        <v>0</v>
      </c>
      <c r="H46" s="291">
        <v>0</v>
      </c>
      <c r="I46" s="184"/>
      <c r="J46" s="23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24" t="s">
        <v>85</v>
      </c>
      <c r="B47" s="170">
        <v>556.8047499999999</v>
      </c>
      <c r="C47" s="26">
        <v>252.29357000000701</v>
      </c>
      <c r="D47" s="25">
        <v>0</v>
      </c>
      <c r="E47" s="28">
        <v>0</v>
      </c>
      <c r="F47" s="28">
        <v>0</v>
      </c>
      <c r="G47" s="55">
        <v>0</v>
      </c>
      <c r="H47" s="291">
        <v>0</v>
      </c>
      <c r="I47" s="184"/>
      <c r="J47" s="23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36" t="s">
        <v>10</v>
      </c>
      <c r="B48" s="172">
        <v>556.8047499999999</v>
      </c>
      <c r="C48" s="54">
        <v>252.29357000000701</v>
      </c>
      <c r="D48" s="38">
        <v>0</v>
      </c>
      <c r="E48" s="40">
        <v>0</v>
      </c>
      <c r="F48" s="40">
        <v>0</v>
      </c>
      <c r="G48" s="283">
        <v>0</v>
      </c>
      <c r="H48" s="293">
        <v>0</v>
      </c>
      <c r="I48" s="184"/>
      <c r="J48" s="23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36" t="s">
        <v>11</v>
      </c>
      <c r="B49" s="172">
        <v>0</v>
      </c>
      <c r="C49" s="54">
        <v>0</v>
      </c>
      <c r="D49" s="38">
        <v>0</v>
      </c>
      <c r="E49" s="40">
        <v>0</v>
      </c>
      <c r="F49" s="40">
        <v>0</v>
      </c>
      <c r="G49" s="283">
        <v>0</v>
      </c>
      <c r="H49" s="293">
        <v>0</v>
      </c>
      <c r="I49" s="184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185" t="s">
        <v>86</v>
      </c>
      <c r="B50" s="174">
        <f>+B51+B52</f>
        <v>2323.087</v>
      </c>
      <c r="C50" s="186">
        <f t="shared" ref="C50:H50" si="9">+C51+C52</f>
        <v>3970.0150400000002</v>
      </c>
      <c r="D50" s="50">
        <f t="shared" si="9"/>
        <v>3691</v>
      </c>
      <c r="E50" s="187">
        <f t="shared" si="9"/>
        <v>3691</v>
      </c>
      <c r="F50" s="187">
        <f t="shared" si="9"/>
        <v>3691</v>
      </c>
      <c r="G50" s="286">
        <f t="shared" si="9"/>
        <v>3691</v>
      </c>
      <c r="H50" s="404">
        <f t="shared" si="9"/>
        <v>3691</v>
      </c>
      <c r="I50" s="184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6" t="s">
        <v>10</v>
      </c>
      <c r="B51" s="170">
        <v>1870.7889599999999</v>
      </c>
      <c r="C51" s="26">
        <v>3475.5553</v>
      </c>
      <c r="D51" s="25">
        <v>3239</v>
      </c>
      <c r="E51" s="28">
        <v>3239</v>
      </c>
      <c r="F51" s="28">
        <v>3239</v>
      </c>
      <c r="G51" s="55">
        <v>3239</v>
      </c>
      <c r="H51" s="291">
        <v>3239</v>
      </c>
      <c r="I51" s="184"/>
      <c r="J51" s="23"/>
      <c r="K51" s="23"/>
      <c r="L51" s="23"/>
      <c r="M51" s="23"/>
      <c r="N51" s="23"/>
      <c r="O51" s="23"/>
      <c r="P51" s="23"/>
      <c r="Q51" s="23"/>
    </row>
    <row r="52" spans="1:17" ht="14.25" customHeight="1" thickBot="1" x14ac:dyDescent="0.3">
      <c r="A52" s="36" t="s">
        <v>11</v>
      </c>
      <c r="B52" s="188">
        <v>452.29803999999996</v>
      </c>
      <c r="C52" s="62">
        <v>494.45974000000001</v>
      </c>
      <c r="D52" s="61">
        <v>452</v>
      </c>
      <c r="E52" s="64">
        <v>452</v>
      </c>
      <c r="F52" s="64">
        <v>452</v>
      </c>
      <c r="G52" s="284">
        <v>452</v>
      </c>
      <c r="H52" s="294">
        <v>452</v>
      </c>
      <c r="I52" s="184"/>
      <c r="J52" s="23"/>
      <c r="K52" s="23"/>
      <c r="L52" s="23"/>
      <c r="M52" s="23"/>
      <c r="N52" s="23"/>
      <c r="O52" s="23"/>
      <c r="P52" s="23"/>
      <c r="Q52" s="23"/>
    </row>
    <row r="53" spans="1:17" ht="14.25" customHeight="1" thickBot="1" x14ac:dyDescent="0.3">
      <c r="A53" s="189" t="s">
        <v>61</v>
      </c>
      <c r="B53" s="79">
        <f t="shared" ref="B53:G53" si="10">B35+B31+B26+B14+B5+B50</f>
        <v>49844.360470000523</v>
      </c>
      <c r="C53" s="275">
        <f t="shared" si="10"/>
        <v>52307.372630000158</v>
      </c>
      <c r="D53" s="276">
        <f t="shared" si="10"/>
        <v>38977</v>
      </c>
      <c r="E53" s="277">
        <f t="shared" si="10"/>
        <v>46147</v>
      </c>
      <c r="F53" s="277">
        <f t="shared" si="10"/>
        <v>46747</v>
      </c>
      <c r="G53" s="298">
        <f t="shared" si="10"/>
        <v>47361</v>
      </c>
      <c r="H53" s="295">
        <f t="shared" ref="H53" si="11">H35+H31+H26+H14+H5+H50</f>
        <v>48082</v>
      </c>
      <c r="I53" s="184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190" t="s">
        <v>62</v>
      </c>
      <c r="B54" s="233">
        <f>B9+B12+B13+B15+B16+B26+B42+B46+B48+B51+B36+B37+B38+B39+B45</f>
        <v>41097.949430000517</v>
      </c>
      <c r="C54" s="409">
        <f>C9+C12+C13+C15+C16+C26+C42+C46+C48+C51+C36+C37+C38+C39+C45</f>
        <v>47501.25089000017</v>
      </c>
      <c r="D54" s="410">
        <f t="shared" ref="D54:H54" si="12">D9+D12+D13+D15+D16+D26+D42+D46+D48+D51+D36+D37+D38+D39+D45</f>
        <v>34884</v>
      </c>
      <c r="E54" s="85">
        <f t="shared" si="12"/>
        <v>42039</v>
      </c>
      <c r="F54" s="85">
        <f t="shared" si="12"/>
        <v>42663</v>
      </c>
      <c r="G54" s="299">
        <f t="shared" si="12"/>
        <v>43267</v>
      </c>
      <c r="H54" s="296">
        <f t="shared" si="12"/>
        <v>43990</v>
      </c>
      <c r="I54" s="184"/>
      <c r="J54" s="23"/>
      <c r="K54" s="23"/>
      <c r="L54" s="23"/>
      <c r="M54" s="23"/>
      <c r="N54" s="23"/>
      <c r="O54" s="23"/>
      <c r="P54" s="23"/>
      <c r="Q54" s="23"/>
    </row>
    <row r="55" spans="1:17" ht="13.5" customHeight="1" x14ac:dyDescent="0.25">
      <c r="A55" s="53" t="s">
        <v>64</v>
      </c>
      <c r="B55" s="233">
        <v>0</v>
      </c>
      <c r="C55" s="26">
        <v>0</v>
      </c>
      <c r="D55" s="25">
        <v>0</v>
      </c>
      <c r="E55" s="28">
        <v>0</v>
      </c>
      <c r="F55" s="28">
        <v>0</v>
      </c>
      <c r="G55" s="55">
        <v>0</v>
      </c>
      <c r="H55" s="291">
        <v>0</v>
      </c>
      <c r="I55" s="184"/>
      <c r="J55" s="23"/>
      <c r="K55" s="23"/>
      <c r="L55" s="23"/>
      <c r="M55" s="23"/>
      <c r="N55" s="23"/>
      <c r="O55" s="23"/>
      <c r="P55" s="23"/>
      <c r="Q55" s="23"/>
    </row>
    <row r="56" spans="1:17" ht="13.5" customHeight="1" x14ac:dyDescent="0.25">
      <c r="A56" s="53" t="s">
        <v>65</v>
      </c>
      <c r="B56" s="170">
        <f t="shared" ref="B56:G56" si="13">B10+B32+B33+B43+B49+B52</f>
        <v>6258.1780399999989</v>
      </c>
      <c r="C56" s="26">
        <f t="shared" si="13"/>
        <v>3303.9767400000001</v>
      </c>
      <c r="D56" s="25">
        <f t="shared" si="13"/>
        <v>2817</v>
      </c>
      <c r="E56" s="28">
        <f t="shared" si="13"/>
        <v>2807</v>
      </c>
      <c r="F56" s="28">
        <f t="shared" si="13"/>
        <v>2791</v>
      </c>
      <c r="G56" s="55">
        <f t="shared" si="13"/>
        <v>2797</v>
      </c>
      <c r="H56" s="291">
        <f t="shared" ref="H56" si="14">H10+H32+H33+H43+H49+H52</f>
        <v>2796</v>
      </c>
      <c r="I56" s="184"/>
      <c r="J56" s="23"/>
      <c r="K56" s="23"/>
      <c r="L56" s="23"/>
      <c r="M56" s="23"/>
      <c r="N56" s="23"/>
      <c r="O56" s="23"/>
      <c r="P56" s="23"/>
      <c r="Q56" s="23"/>
    </row>
    <row r="57" spans="1:17" ht="13.5" customHeight="1" x14ac:dyDescent="0.25">
      <c r="A57" s="53" t="s">
        <v>66</v>
      </c>
      <c r="B57" s="170">
        <f t="shared" ref="B57:G57" si="15">B11+B34</f>
        <v>2488.2330000000002</v>
      </c>
      <c r="C57" s="26">
        <f t="shared" si="15"/>
        <v>1502.145</v>
      </c>
      <c r="D57" s="25">
        <f t="shared" si="15"/>
        <v>1276</v>
      </c>
      <c r="E57" s="28">
        <f t="shared" si="15"/>
        <v>1301</v>
      </c>
      <c r="F57" s="28">
        <f t="shared" si="15"/>
        <v>1293</v>
      </c>
      <c r="G57" s="55">
        <f t="shared" si="15"/>
        <v>1297</v>
      </c>
      <c r="H57" s="291">
        <f t="shared" ref="H57" si="16">H11+H34</f>
        <v>1296</v>
      </c>
      <c r="I57" s="184"/>
      <c r="J57" s="23"/>
      <c r="K57" s="23"/>
      <c r="L57" s="23"/>
      <c r="M57" s="23"/>
      <c r="N57" s="23"/>
      <c r="O57" s="23"/>
      <c r="P57" s="23"/>
      <c r="Q57" s="23"/>
    </row>
    <row r="58" spans="1:17" ht="13.5" customHeight="1" x14ac:dyDescent="0.25">
      <c r="A58" s="53" t="s">
        <v>67</v>
      </c>
      <c r="B58" s="170">
        <f t="shared" ref="B58:G58" si="17">B40</f>
        <v>0</v>
      </c>
      <c r="C58" s="26">
        <f t="shared" si="17"/>
        <v>0</v>
      </c>
      <c r="D58" s="25">
        <f t="shared" si="17"/>
        <v>0</v>
      </c>
      <c r="E58" s="28">
        <f t="shared" si="17"/>
        <v>0</v>
      </c>
      <c r="F58" s="28">
        <f t="shared" si="17"/>
        <v>0</v>
      </c>
      <c r="G58" s="55">
        <f t="shared" si="17"/>
        <v>0</v>
      </c>
      <c r="H58" s="291">
        <f t="shared" ref="H58" si="18">H40</f>
        <v>0</v>
      </c>
      <c r="I58" s="184"/>
      <c r="J58" s="23"/>
      <c r="K58" s="23"/>
      <c r="L58" s="23"/>
      <c r="M58" s="23"/>
      <c r="N58" s="23"/>
      <c r="O58" s="23"/>
      <c r="P58" s="23"/>
      <c r="Q58" s="23"/>
    </row>
    <row r="59" spans="1:17" ht="14.25" customHeight="1" thickBot="1" x14ac:dyDescent="0.3">
      <c r="A59" s="191" t="s">
        <v>68</v>
      </c>
      <c r="B59" s="188">
        <f t="shared" ref="B59:G59" si="19">B44</f>
        <v>0</v>
      </c>
      <c r="C59" s="62">
        <f t="shared" si="19"/>
        <v>0</v>
      </c>
      <c r="D59" s="61">
        <f t="shared" si="19"/>
        <v>0</v>
      </c>
      <c r="E59" s="64">
        <f t="shared" si="19"/>
        <v>0</v>
      </c>
      <c r="F59" s="64">
        <f t="shared" si="19"/>
        <v>0</v>
      </c>
      <c r="G59" s="284">
        <f t="shared" si="19"/>
        <v>0</v>
      </c>
      <c r="H59" s="294">
        <f t="shared" ref="H59" si="20">H44</f>
        <v>0</v>
      </c>
      <c r="I59" s="184"/>
      <c r="J59" s="23"/>
      <c r="K59" s="23"/>
      <c r="L59" s="23"/>
      <c r="M59" s="23"/>
      <c r="N59" s="23"/>
      <c r="O59" s="23"/>
      <c r="P59" s="23"/>
      <c r="Q59" s="23"/>
    </row>
    <row r="60" spans="1:17" ht="17.25" customHeight="1" thickBot="1" x14ac:dyDescent="0.35">
      <c r="A60" s="192"/>
      <c r="B60" s="234"/>
      <c r="C60" s="234"/>
      <c r="D60" s="234"/>
      <c r="E60" s="234"/>
      <c r="F60" s="234"/>
      <c r="G60" s="234"/>
      <c r="H60" s="234"/>
      <c r="I60" s="184"/>
      <c r="J60" s="23"/>
      <c r="K60" s="23"/>
      <c r="L60" s="23"/>
      <c r="M60" s="23"/>
      <c r="N60" s="23"/>
      <c r="O60" s="23"/>
      <c r="P60" s="23"/>
      <c r="Q60" s="23"/>
    </row>
    <row r="61" spans="1:17" ht="13.5" customHeight="1" x14ac:dyDescent="0.25">
      <c r="A61" s="193" t="s">
        <v>54</v>
      </c>
      <c r="B61" s="235">
        <f t="shared" ref="B61:G61" si="21">B62+B63</f>
        <v>11329.04644</v>
      </c>
      <c r="C61" s="236">
        <f t="shared" si="21"/>
        <v>15066.974</v>
      </c>
      <c r="D61" s="235">
        <f t="shared" si="21"/>
        <v>14225</v>
      </c>
      <c r="E61" s="235">
        <f t="shared" si="21"/>
        <v>14225</v>
      </c>
      <c r="F61" s="235">
        <f t="shared" si="21"/>
        <v>14225</v>
      </c>
      <c r="G61" s="237">
        <f t="shared" si="21"/>
        <v>14225</v>
      </c>
      <c r="H61" s="237">
        <f t="shared" ref="H61" si="22">H62+H63</f>
        <v>14225</v>
      </c>
      <c r="I61" s="184"/>
      <c r="J61" s="23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53" t="s">
        <v>55</v>
      </c>
      <c r="B62" s="28">
        <v>10994.712289999999</v>
      </c>
      <c r="C62" s="55">
        <v>14714.352779999999</v>
      </c>
      <c r="D62" s="28">
        <v>13872</v>
      </c>
      <c r="E62" s="28">
        <v>13872</v>
      </c>
      <c r="F62" s="28">
        <v>13872</v>
      </c>
      <c r="G62" s="26">
        <v>13872</v>
      </c>
      <c r="H62" s="26">
        <v>13872</v>
      </c>
      <c r="I62" s="184"/>
      <c r="J62" s="23"/>
      <c r="K62" s="23"/>
      <c r="L62" s="23"/>
      <c r="M62" s="23"/>
      <c r="N62" s="23"/>
      <c r="O62" s="23"/>
      <c r="P62" s="23"/>
      <c r="Q62" s="23"/>
    </row>
    <row r="63" spans="1:17" ht="14.25" customHeight="1" thickBot="1" x14ac:dyDescent="0.3">
      <c r="A63" s="53" t="s">
        <v>59</v>
      </c>
      <c r="B63" s="28">
        <v>334.33415000000014</v>
      </c>
      <c r="C63" s="55">
        <v>352.62122000000005</v>
      </c>
      <c r="D63" s="64">
        <v>353</v>
      </c>
      <c r="E63" s="64">
        <v>353</v>
      </c>
      <c r="F63" s="64">
        <v>353</v>
      </c>
      <c r="G63" s="62">
        <v>353</v>
      </c>
      <c r="H63" s="62">
        <v>353</v>
      </c>
      <c r="I63" s="184"/>
      <c r="J63" s="23"/>
      <c r="K63" s="23"/>
      <c r="L63" s="23"/>
      <c r="M63" s="23"/>
      <c r="N63" s="23"/>
      <c r="O63" s="23"/>
      <c r="P63" s="23"/>
      <c r="Q63" s="23"/>
    </row>
    <row r="64" spans="1:17" ht="14.25" customHeight="1" thickBot="1" x14ac:dyDescent="0.3">
      <c r="A64" s="89" t="s">
        <v>70</v>
      </c>
      <c r="B64" s="82">
        <f t="shared" ref="B64:G64" si="23">B53+B61</f>
        <v>61173.406910000522</v>
      </c>
      <c r="C64" s="238">
        <f t="shared" si="23"/>
        <v>67374.34663000016</v>
      </c>
      <c r="D64" s="239">
        <f t="shared" si="23"/>
        <v>53202</v>
      </c>
      <c r="E64" s="239">
        <f t="shared" si="23"/>
        <v>60372</v>
      </c>
      <c r="F64" s="239">
        <f t="shared" si="23"/>
        <v>60972</v>
      </c>
      <c r="G64" s="90">
        <f t="shared" si="23"/>
        <v>61586</v>
      </c>
      <c r="H64" s="90">
        <f t="shared" ref="H64" si="24">H53+H61</f>
        <v>62307</v>
      </c>
      <c r="I64" s="184"/>
      <c r="J64" s="23"/>
      <c r="K64" s="23"/>
      <c r="L64" s="23"/>
      <c r="M64" s="23"/>
      <c r="N64" s="23"/>
      <c r="O64" s="23"/>
      <c r="P64" s="23"/>
      <c r="Q64" s="23"/>
    </row>
    <row r="65" spans="1:10" ht="14.25" customHeight="1" x14ac:dyDescent="0.25">
      <c r="A65" s="194"/>
      <c r="B65" s="228"/>
      <c r="C65" s="228"/>
      <c r="D65" s="228"/>
      <c r="E65" s="228"/>
      <c r="F65" s="228"/>
      <c r="G65" s="228"/>
      <c r="H65" s="22"/>
      <c r="I65" s="184"/>
      <c r="J65" s="184"/>
    </row>
    <row r="66" spans="1:10" ht="14.25" customHeight="1" x14ac:dyDescent="0.3">
      <c r="A66" s="195"/>
      <c r="B66" s="280">
        <f>+B53-SUM(B54:B59)</f>
        <v>0</v>
      </c>
      <c r="C66" s="280">
        <f t="shared" ref="C66:H66" si="25">+C53-SUM(C54:C59)</f>
        <v>0</v>
      </c>
      <c r="D66" s="280">
        <f t="shared" si="25"/>
        <v>0</v>
      </c>
      <c r="E66" s="280">
        <f t="shared" si="25"/>
        <v>0</v>
      </c>
      <c r="F66" s="280">
        <f t="shared" si="25"/>
        <v>0</v>
      </c>
      <c r="G66" s="280">
        <f t="shared" si="25"/>
        <v>0</v>
      </c>
      <c r="H66" s="280">
        <f t="shared" si="25"/>
        <v>0</v>
      </c>
      <c r="I66" s="184"/>
      <c r="J66" s="184"/>
    </row>
    <row r="67" spans="1:10" ht="14.25" customHeight="1" x14ac:dyDescent="0.25">
      <c r="B67" s="23"/>
      <c r="C67" s="23"/>
      <c r="D67" s="23"/>
      <c r="E67" s="23"/>
      <c r="F67" s="23"/>
      <c r="G67" s="23"/>
      <c r="H67" s="23"/>
    </row>
    <row r="68" spans="1:10" ht="14.25" customHeight="1" x14ac:dyDescent="0.25">
      <c r="B68" s="184"/>
      <c r="C68" s="184"/>
      <c r="D68" s="184"/>
      <c r="E68" s="184"/>
      <c r="F68" s="184"/>
      <c r="G68" s="184"/>
      <c r="H68" s="184"/>
    </row>
    <row r="69" spans="1:10" x14ac:dyDescent="0.25">
      <c r="B69" s="184"/>
      <c r="C69" s="184"/>
      <c r="D69" s="184"/>
      <c r="E69" s="184"/>
      <c r="F69" s="184"/>
      <c r="G69" s="184"/>
      <c r="H69" s="184"/>
    </row>
    <row r="70" spans="1:10" x14ac:dyDescent="0.25">
      <c r="B70" s="184"/>
      <c r="C70" s="184"/>
      <c r="D70" s="184"/>
      <c r="E70" s="184"/>
      <c r="F70" s="184"/>
      <c r="G70" s="184"/>
      <c r="H70" s="184"/>
    </row>
    <row r="71" spans="1:10" x14ac:dyDescent="0.25">
      <c r="B71" s="184"/>
      <c r="C71" s="184"/>
      <c r="D71" s="184"/>
      <c r="E71" s="184"/>
      <c r="F71" s="184"/>
      <c r="G71" s="184"/>
      <c r="H71" s="184"/>
    </row>
    <row r="72" spans="1:10" x14ac:dyDescent="0.25">
      <c r="B72" s="184"/>
      <c r="C72" s="184"/>
      <c r="D72" s="184"/>
      <c r="E72" s="184"/>
      <c r="F72" s="184"/>
      <c r="G72" s="184"/>
      <c r="H72" s="184"/>
    </row>
    <row r="73" spans="1:10" x14ac:dyDescent="0.25">
      <c r="B73" s="184"/>
      <c r="C73" s="184"/>
      <c r="D73" s="184"/>
      <c r="E73" s="184"/>
      <c r="F73" s="184"/>
      <c r="G73" s="184"/>
      <c r="H73" s="184"/>
    </row>
    <row r="74" spans="1:10" x14ac:dyDescent="0.25">
      <c r="B74" s="184"/>
      <c r="C74" s="184"/>
      <c r="D74" s="184"/>
      <c r="E74" s="184"/>
      <c r="F74" s="184"/>
      <c r="G74" s="184"/>
      <c r="H74" s="184"/>
    </row>
    <row r="75" spans="1:10" x14ac:dyDescent="0.25">
      <c r="B75" s="184"/>
      <c r="C75" s="184"/>
      <c r="D75" s="23"/>
      <c r="E75" s="23"/>
      <c r="F75" s="23"/>
      <c r="G75" s="23"/>
      <c r="H75" s="23"/>
    </row>
    <row r="76" spans="1:10" x14ac:dyDescent="0.25">
      <c r="B76" s="184"/>
      <c r="C76" s="184"/>
      <c r="D76" s="23"/>
      <c r="E76" s="23"/>
      <c r="F76" s="23"/>
      <c r="G76" s="23"/>
      <c r="H76" s="23"/>
    </row>
    <row r="77" spans="1:10" x14ac:dyDescent="0.25">
      <c r="B77" s="184"/>
      <c r="C77" s="184"/>
      <c r="D77" s="184"/>
      <c r="E77" s="184"/>
      <c r="F77" s="184"/>
      <c r="G77" s="184"/>
    </row>
    <row r="78" spans="1:10" x14ac:dyDescent="0.25">
      <c r="B78" s="184"/>
      <c r="C78" s="184"/>
      <c r="D78" s="184"/>
      <c r="E78" s="184"/>
      <c r="F78" s="184"/>
      <c r="G78" s="184"/>
    </row>
    <row r="79" spans="1:10" x14ac:dyDescent="0.25">
      <c r="B79" s="184"/>
      <c r="C79" s="184"/>
      <c r="D79" s="184"/>
      <c r="E79" s="184"/>
      <c r="F79" s="184"/>
      <c r="G79" s="18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headerFooter>
    <oddFooter>&amp;L_x000D_&amp;1#&amp;"Calibri"&amp;10&amp;K000000 Interné</oddFooter>
  </headerFooter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22"/>
  <sheetViews>
    <sheetView showGridLines="0" zoomScaleNormal="100" workbookViewId="0">
      <pane xSplit="1" ySplit="4" topLeftCell="B5" activePane="bottomRight" state="frozen"/>
      <selection activeCell="K84" sqref="K84"/>
      <selection pane="topRight" activeCell="K84" sqref="K84"/>
      <selection pane="bottomLeft" activeCell="K84" sqref="K84"/>
      <selection pane="bottomRight" activeCell="K90" sqref="K90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11.5429687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5" width="10.26953125" style="1" customWidth="1"/>
    <col min="16" max="16" width="11.26953125" style="1" customWidth="1"/>
    <col min="17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422" t="s">
        <v>4</v>
      </c>
      <c r="E3" s="423"/>
      <c r="F3" s="423"/>
      <c r="G3" s="423"/>
      <c r="H3" s="424"/>
    </row>
    <row r="4" spans="1:17" ht="14.25" customHeight="1" thickBot="1" x14ac:dyDescent="0.3">
      <c r="A4" s="12"/>
      <c r="B4" s="13">
        <v>2024</v>
      </c>
      <c r="C4" s="14">
        <v>2025</v>
      </c>
      <c r="D4" s="342">
        <v>2026</v>
      </c>
      <c r="E4" s="313">
        <v>2027</v>
      </c>
      <c r="F4" s="313">
        <v>2028</v>
      </c>
      <c r="G4" s="340">
        <v>2029</v>
      </c>
      <c r="H4" s="340">
        <v>2030</v>
      </c>
    </row>
    <row r="5" spans="1:17" ht="13.5" customHeight="1" x14ac:dyDescent="0.25">
      <c r="A5" s="16" t="s">
        <v>5</v>
      </c>
      <c r="B5" s="17">
        <f>B6+B12+B17+B16</f>
        <v>0</v>
      </c>
      <c r="C5" s="18">
        <f t="shared" ref="C5:G5" si="0">C6+C12+C17+C16</f>
        <v>-251206.47665540269</v>
      </c>
      <c r="D5" s="196">
        <f t="shared" si="0"/>
        <v>-277457</v>
      </c>
      <c r="E5" s="20">
        <f t="shared" si="0"/>
        <v>-167874</v>
      </c>
      <c r="F5" s="20">
        <f t="shared" si="0"/>
        <v>-98730</v>
      </c>
      <c r="G5" s="281">
        <f t="shared" si="0"/>
        <v>-71759</v>
      </c>
      <c r="H5" s="18">
        <f t="shared" ref="H5" si="1">H6+H12+H17+H16</f>
        <v>-34126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2">B7+B8</f>
        <v>0</v>
      </c>
      <c r="C6" s="26">
        <f t="shared" si="2"/>
        <v>-3172.1953254025429</v>
      </c>
      <c r="D6" s="170">
        <f t="shared" si="2"/>
        <v>43848</v>
      </c>
      <c r="E6" s="28">
        <f t="shared" si="2"/>
        <v>70716</v>
      </c>
      <c r="F6" s="28">
        <f t="shared" si="2"/>
        <v>121152</v>
      </c>
      <c r="G6" s="55">
        <f t="shared" ref="G6:H6" si="3">G7+G8</f>
        <v>139166</v>
      </c>
      <c r="H6" s="26">
        <f t="shared" si="3"/>
        <v>141407</v>
      </c>
      <c r="I6" s="23"/>
      <c r="J6" s="23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30">
        <f>ESA2010_jun26!B7-ESA2010_feb26!B7</f>
        <v>0</v>
      </c>
      <c r="C7" s="31">
        <f>ESA2010_jun26!C7-ESA2010_feb26!C7</f>
        <v>-54.195325402542949</v>
      </c>
      <c r="D7" s="30">
        <f>ESA2010_jun26!D7-ESA2010_feb26!D7</f>
        <v>52084</v>
      </c>
      <c r="E7" s="33">
        <f>ESA2010_jun26!E7-ESA2010_feb26!E7</f>
        <v>76064</v>
      </c>
      <c r="F7" s="34">
        <f>ESA2010_jun26!F7-ESA2010_feb26!F7</f>
        <v>124925</v>
      </c>
      <c r="G7" s="33">
        <f>ESA2010_jun26!G7-ESA2010_feb26!G7</f>
        <v>142882</v>
      </c>
      <c r="H7" s="35">
        <f>ESA2010_jun26!H7-ESA2010_feb26!H7</f>
        <v>147246</v>
      </c>
      <c r="I7" s="23"/>
      <c r="J7" s="23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30">
        <f>ESA2010_jun26!B8-ESA2010_feb26!B8</f>
        <v>0</v>
      </c>
      <c r="C8" s="31">
        <f>ESA2010_jun26!C8-ESA2010_feb26!C8</f>
        <v>-3118</v>
      </c>
      <c r="D8" s="30">
        <f>ESA2010_jun26!D8-ESA2010_feb26!D8</f>
        <v>-8236</v>
      </c>
      <c r="E8" s="33">
        <f>ESA2010_jun26!E8-ESA2010_feb26!E8</f>
        <v>-5348</v>
      </c>
      <c r="F8" s="34">
        <f>ESA2010_jun26!F8-ESA2010_feb26!F8</f>
        <v>-3773</v>
      </c>
      <c r="G8" s="33">
        <f>ESA2010_jun26!G8-ESA2010_feb26!G8</f>
        <v>-3716</v>
      </c>
      <c r="H8" s="35">
        <f>ESA2010_jun26!H8-ESA2010_feb26!H8</f>
        <v>-5839</v>
      </c>
      <c r="I8" s="23"/>
      <c r="J8" s="23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30">
        <f>ESA2010_jun26!B9-ESA2010_feb26!B9</f>
        <v>0</v>
      </c>
      <c r="C9" s="31">
        <f>ESA2010_jun26!C9-ESA2010_feb26!C9</f>
        <v>-3036.9520554025657</v>
      </c>
      <c r="D9" s="30">
        <f>ESA2010_jun26!D9-ESA2010_feb26!D9</f>
        <v>-3586</v>
      </c>
      <c r="E9" s="33">
        <f>ESA2010_jun26!E9-ESA2010_feb26!E9</f>
        <v>19883</v>
      </c>
      <c r="F9" s="34">
        <f>ESA2010_jun26!F9-ESA2010_feb26!F9</f>
        <v>28101</v>
      </c>
      <c r="G9" s="33">
        <f>ESA2010_jun26!G9-ESA2010_feb26!G9</f>
        <v>26076</v>
      </c>
      <c r="H9" s="35">
        <f>ESA2010_jun26!H9-ESA2010_feb26!H9</f>
        <v>25176</v>
      </c>
      <c r="I9" s="23"/>
      <c r="J9" s="23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30">
        <f>ESA2010_jun26!B10-ESA2010_feb26!B10</f>
        <v>0</v>
      </c>
      <c r="C10" s="31">
        <f>ESA2010_jun26!C10-ESA2010_feb26!C10</f>
        <v>-87.942989999894053</v>
      </c>
      <c r="D10" s="30">
        <f>ESA2010_jun26!D10-ESA2010_feb26!D10</f>
        <v>30809</v>
      </c>
      <c r="E10" s="33">
        <f>ESA2010_jun26!E10-ESA2010_feb26!E10</f>
        <v>32748</v>
      </c>
      <c r="F10" s="34">
        <f>ESA2010_jun26!F10-ESA2010_feb26!F10</f>
        <v>59923</v>
      </c>
      <c r="G10" s="33">
        <f>ESA2010_jun26!G10-ESA2010_feb26!G10</f>
        <v>72829</v>
      </c>
      <c r="H10" s="35">
        <f>ESA2010_jun26!H10-ESA2010_feb26!H10</f>
        <v>74851</v>
      </c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30">
        <f>ESA2010_jun26!B11-ESA2010_feb26!B11</f>
        <v>0</v>
      </c>
      <c r="C11" s="31">
        <f>ESA2010_jun26!C11-ESA2010_feb26!C11</f>
        <v>-47.300280000083148</v>
      </c>
      <c r="D11" s="30">
        <f>ESA2010_jun26!D11-ESA2010_feb26!D11</f>
        <v>16625</v>
      </c>
      <c r="E11" s="33">
        <f>ESA2010_jun26!E11-ESA2010_feb26!E11</f>
        <v>18085</v>
      </c>
      <c r="F11" s="34">
        <f>ESA2010_jun26!F11-ESA2010_feb26!F11</f>
        <v>33128</v>
      </c>
      <c r="G11" s="33">
        <f>ESA2010_jun26!G11-ESA2010_feb26!G11</f>
        <v>40261</v>
      </c>
      <c r="H11" s="35">
        <f>ESA2010_jun26!H11-ESA2010_feb26!H11</f>
        <v>41380</v>
      </c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30">
        <f>ESA2010_jun26!B12-ESA2010_feb26!B12</f>
        <v>0</v>
      </c>
      <c r="C12" s="31">
        <f>ESA2010_jun26!C12-ESA2010_feb26!C12</f>
        <v>-248034</v>
      </c>
      <c r="D12" s="30">
        <f>ESA2010_jun26!D12-ESA2010_feb26!D12</f>
        <v>-334995</v>
      </c>
      <c r="E12" s="33">
        <f>ESA2010_jun26!E12-ESA2010_feb26!E12</f>
        <v>-251778</v>
      </c>
      <c r="F12" s="34">
        <f>ESA2010_jun26!F12-ESA2010_feb26!F12</f>
        <v>-236486</v>
      </c>
      <c r="G12" s="33">
        <f>ESA2010_jun26!G12-ESA2010_feb26!G12</f>
        <v>-229202</v>
      </c>
      <c r="H12" s="35">
        <f>ESA2010_jun26!H12-ESA2010_feb26!H12</f>
        <v>-197142</v>
      </c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36" t="s">
        <v>10</v>
      </c>
      <c r="B13" s="30">
        <f>ESA2010_jun26!B13-ESA2010_feb26!B13</f>
        <v>0</v>
      </c>
      <c r="C13" s="31">
        <f>ESA2010_jun26!C13-ESA2010_feb26!C13</f>
        <v>-248034</v>
      </c>
      <c r="D13" s="30">
        <f>ESA2010_jun26!D13-ESA2010_feb26!D13</f>
        <v>-334995</v>
      </c>
      <c r="E13" s="33">
        <f>ESA2010_jun26!E13-ESA2010_feb26!E13</f>
        <v>-251778</v>
      </c>
      <c r="F13" s="34">
        <f>ESA2010_jun26!F13-ESA2010_feb26!F13</f>
        <v>-236486</v>
      </c>
      <c r="G13" s="33">
        <f>ESA2010_jun26!G13-ESA2010_feb26!G13</f>
        <v>-229202</v>
      </c>
      <c r="H13" s="35">
        <f>ESA2010_jun26!H13-ESA2010_feb26!H13</f>
        <v>-197142</v>
      </c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36" t="s">
        <v>11</v>
      </c>
      <c r="B14" s="30">
        <f>ESA2010_jun26!B14-ESA2010_feb26!B14</f>
        <v>0</v>
      </c>
      <c r="C14" s="31">
        <f>ESA2010_jun26!C14-ESA2010_feb26!C14</f>
        <v>0</v>
      </c>
      <c r="D14" s="30">
        <f>ESA2010_jun26!D14-ESA2010_feb26!D14</f>
        <v>0</v>
      </c>
      <c r="E14" s="33">
        <f>ESA2010_jun26!E14-ESA2010_feb26!E14</f>
        <v>0</v>
      </c>
      <c r="F14" s="34">
        <f>ESA2010_jun26!F14-ESA2010_feb26!F14</f>
        <v>0</v>
      </c>
      <c r="G14" s="33">
        <f>ESA2010_jun26!G14-ESA2010_feb26!G14</f>
        <v>0</v>
      </c>
      <c r="H14" s="35">
        <f>ESA2010_jun26!H14-ESA2010_feb26!H14</f>
        <v>0</v>
      </c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36" t="s">
        <v>12</v>
      </c>
      <c r="B15" s="30">
        <f>ESA2010_jun26!B15-ESA2010_feb26!B15</f>
        <v>0</v>
      </c>
      <c r="C15" s="31">
        <f>ESA2010_jun26!C15-ESA2010_feb26!C15</f>
        <v>0</v>
      </c>
      <c r="D15" s="30">
        <f>ESA2010_jun26!D15-ESA2010_feb26!D15</f>
        <v>0</v>
      </c>
      <c r="E15" s="33">
        <f>ESA2010_jun26!E15-ESA2010_feb26!E15</f>
        <v>0</v>
      </c>
      <c r="F15" s="34">
        <f>ESA2010_jun26!F15-ESA2010_feb26!F15</f>
        <v>0</v>
      </c>
      <c r="G15" s="33">
        <f>ESA2010_jun26!G15-ESA2010_feb26!G15</f>
        <v>0</v>
      </c>
      <c r="H15" s="35">
        <f>ESA2010_jun26!H15-ESA2010_feb26!H15</f>
        <v>0</v>
      </c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95</v>
      </c>
      <c r="B16" s="30">
        <f>ESA2010_jun26!B16-ESA2010_feb26!B16</f>
        <v>0</v>
      </c>
      <c r="C16" s="31">
        <f>ESA2010_jun26!C16-ESA2010_feb26!C16</f>
        <v>0</v>
      </c>
      <c r="D16" s="30">
        <f>ESA2010_jun26!D16-ESA2010_feb26!D16</f>
        <v>0</v>
      </c>
      <c r="E16" s="33">
        <f>ESA2010_jun26!E16-ESA2010_feb26!E16</f>
        <v>0</v>
      </c>
      <c r="F16" s="34">
        <f>ESA2010_jun26!F16-ESA2010_feb26!F16</f>
        <v>0</v>
      </c>
      <c r="G16" s="33">
        <f>ESA2010_jun26!G16-ESA2010_feb26!G16</f>
        <v>0</v>
      </c>
      <c r="H16" s="35">
        <f>ESA2010_jun26!H16-ESA2010_feb26!H16</f>
        <v>0</v>
      </c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15</v>
      </c>
      <c r="B17" s="30">
        <f>ESA2010_jun26!B17-ESA2010_feb26!B17</f>
        <v>0</v>
      </c>
      <c r="C17" s="31">
        <f>ESA2010_jun26!C17-ESA2010_feb26!C17</f>
        <v>-0.28133000014349818</v>
      </c>
      <c r="D17" s="30">
        <f>ESA2010_jun26!D17-ESA2010_feb26!D17</f>
        <v>13690</v>
      </c>
      <c r="E17" s="33">
        <f>ESA2010_jun26!E17-ESA2010_feb26!E17</f>
        <v>13188</v>
      </c>
      <c r="F17" s="34">
        <f>ESA2010_jun26!F17-ESA2010_feb26!F17</f>
        <v>16604</v>
      </c>
      <c r="G17" s="33">
        <f>ESA2010_jun26!G17-ESA2010_feb26!G17</f>
        <v>18277</v>
      </c>
      <c r="H17" s="35">
        <f>ESA2010_jun26!H17-ESA2010_feb26!H17</f>
        <v>21609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41" t="s">
        <v>16</v>
      </c>
      <c r="B18" s="42">
        <f t="shared" ref="B18:F18" si="4">B19+B20</f>
        <v>0</v>
      </c>
      <c r="C18" s="43">
        <f t="shared" si="4"/>
        <v>2267.8009500004514</v>
      </c>
      <c r="D18" s="171">
        <f t="shared" si="4"/>
        <v>158829</v>
      </c>
      <c r="E18" s="45">
        <f t="shared" si="4"/>
        <v>422341</v>
      </c>
      <c r="F18" s="45">
        <f t="shared" si="4"/>
        <v>502832</v>
      </c>
      <c r="G18" s="282">
        <f t="shared" ref="G18:H18" si="5">G19+G20</f>
        <v>597835</v>
      </c>
      <c r="H18" s="43">
        <f t="shared" si="5"/>
        <v>576020</v>
      </c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4" t="s">
        <v>17</v>
      </c>
      <c r="B19" s="30">
        <f>ESA2010_jun26!B19-ESA2010_feb26!B19</f>
        <v>0</v>
      </c>
      <c r="C19" s="31">
        <f>ESA2010_jun26!C19-ESA2010_feb26!C19</f>
        <v>2798.9665200002491</v>
      </c>
      <c r="D19" s="30">
        <f>ESA2010_jun26!D19-ESA2010_feb26!D19</f>
        <v>128089</v>
      </c>
      <c r="E19" s="33">
        <f>ESA2010_jun26!E19-ESA2010_feb26!E19</f>
        <v>412288</v>
      </c>
      <c r="F19" s="34">
        <f>ESA2010_jun26!F19-ESA2010_feb26!F19</f>
        <v>491545</v>
      </c>
      <c r="G19" s="33">
        <f>ESA2010_jun26!G19-ESA2010_feb26!G19</f>
        <v>582660</v>
      </c>
      <c r="H19" s="35">
        <f>ESA2010_jun26!H19-ESA2010_feb26!H19</f>
        <v>561426</v>
      </c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4" t="s">
        <v>18</v>
      </c>
      <c r="B20" s="25">
        <f t="shared" ref="B20:C20" si="6">SUM(B21:B29)</f>
        <v>0</v>
      </c>
      <c r="C20" s="26">
        <f t="shared" si="6"/>
        <v>-531.16556999979775</v>
      </c>
      <c r="D20" s="30">
        <f>SUM(D21:D29)</f>
        <v>30740</v>
      </c>
      <c r="E20" s="33">
        <f t="shared" ref="E20:G20" si="7">SUM(E21:E29)</f>
        <v>10053</v>
      </c>
      <c r="F20" s="34">
        <f t="shared" si="7"/>
        <v>11287</v>
      </c>
      <c r="G20" s="33">
        <f t="shared" si="7"/>
        <v>15175</v>
      </c>
      <c r="H20" s="35">
        <f t="shared" ref="H20" si="8">SUM(H21:H29)</f>
        <v>14594</v>
      </c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19</v>
      </c>
      <c r="B21" s="30">
        <f>ESA2010_jun26!B21-ESA2010_feb26!B21</f>
        <v>0</v>
      </c>
      <c r="C21" s="31">
        <f>ESA2010_jun26!C21-ESA2010_feb26!C21</f>
        <v>-47.056429999880493</v>
      </c>
      <c r="D21" s="30">
        <f>ESA2010_jun26!D21-ESA2010_feb26!D21</f>
        <v>20765</v>
      </c>
      <c r="E21" s="33">
        <f>ESA2010_jun26!E21-ESA2010_feb26!E21</f>
        <v>1944</v>
      </c>
      <c r="F21" s="34">
        <f>ESA2010_jun26!F21-ESA2010_feb26!F21</f>
        <v>4403</v>
      </c>
      <c r="G21" s="33">
        <f>ESA2010_jun26!G21-ESA2010_feb26!G21</f>
        <v>7976</v>
      </c>
      <c r="H21" s="35">
        <f>ESA2010_jun26!H21-ESA2010_feb26!H21</f>
        <v>8638</v>
      </c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20</v>
      </c>
      <c r="B22" s="30">
        <f>ESA2010_jun26!B22-ESA2010_feb26!B22</f>
        <v>0</v>
      </c>
      <c r="C22" s="31">
        <f>ESA2010_jun26!C22-ESA2010_feb26!C22</f>
        <v>-733.69586999996682</v>
      </c>
      <c r="D22" s="30">
        <f>ESA2010_jun26!D22-ESA2010_feb26!D22</f>
        <v>-383</v>
      </c>
      <c r="E22" s="33">
        <f>ESA2010_jun26!E22-ESA2010_feb26!E22</f>
        <v>-283</v>
      </c>
      <c r="F22" s="34">
        <f>ESA2010_jun26!F22-ESA2010_feb26!F22</f>
        <v>-186</v>
      </c>
      <c r="G22" s="33">
        <f>ESA2010_jun26!G22-ESA2010_feb26!G22</f>
        <v>-60</v>
      </c>
      <c r="H22" s="35">
        <f>ESA2010_jun26!H22-ESA2010_feb26!H22</f>
        <v>105</v>
      </c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21</v>
      </c>
      <c r="B23" s="30">
        <f>ESA2010_jun26!B23-ESA2010_feb26!B23</f>
        <v>0</v>
      </c>
      <c r="C23" s="31">
        <f>ESA2010_jun26!C23-ESA2010_feb26!C23</f>
        <v>-17.752750000014203</v>
      </c>
      <c r="D23" s="30">
        <f>ESA2010_jun26!D23-ESA2010_feb26!D23</f>
        <v>57</v>
      </c>
      <c r="E23" s="33">
        <f>ESA2010_jun26!E23-ESA2010_feb26!E23</f>
        <v>78</v>
      </c>
      <c r="F23" s="34">
        <f>ESA2010_jun26!F23-ESA2010_feb26!F23</f>
        <v>98</v>
      </c>
      <c r="G23" s="33">
        <f>ESA2010_jun26!G23-ESA2010_feb26!G23</f>
        <v>125</v>
      </c>
      <c r="H23" s="35">
        <f>ESA2010_jun26!H23-ESA2010_feb26!H23</f>
        <v>161</v>
      </c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22</v>
      </c>
      <c r="B24" s="30">
        <f>ESA2010_jun26!B24-ESA2010_feb26!B24</f>
        <v>0</v>
      </c>
      <c r="C24" s="31">
        <f>ESA2010_jun26!C24-ESA2010_feb26!C24</f>
        <v>-4.7597699999996621</v>
      </c>
      <c r="D24" s="30">
        <f>ESA2010_jun26!D24-ESA2010_feb26!D24</f>
        <v>142</v>
      </c>
      <c r="E24" s="33">
        <f>ESA2010_jun26!E24-ESA2010_feb26!E24</f>
        <v>143</v>
      </c>
      <c r="F24" s="34">
        <f>ESA2010_jun26!F24-ESA2010_feb26!F24</f>
        <v>143</v>
      </c>
      <c r="G24" s="33">
        <f>ESA2010_jun26!G24-ESA2010_feb26!G24</f>
        <v>146</v>
      </c>
      <c r="H24" s="35">
        <f>ESA2010_jun26!H24-ESA2010_feb26!H24</f>
        <v>149</v>
      </c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23</v>
      </c>
      <c r="B25" s="30">
        <f>ESA2010_jun26!B25-ESA2010_feb26!B25</f>
        <v>0</v>
      </c>
      <c r="C25" s="31">
        <f>ESA2010_jun26!C25-ESA2010_feb26!C25</f>
        <v>441.56263000005856</v>
      </c>
      <c r="D25" s="30">
        <f>ESA2010_jun26!D25-ESA2010_feb26!D25</f>
        <v>10587</v>
      </c>
      <c r="E25" s="33">
        <f>ESA2010_jun26!E25-ESA2010_feb26!E25</f>
        <v>10813</v>
      </c>
      <c r="F25" s="34">
        <f>ESA2010_jun26!F25-ESA2010_feb26!F25</f>
        <v>9449</v>
      </c>
      <c r="G25" s="33">
        <f>ESA2010_jun26!G25-ESA2010_feb26!G25</f>
        <v>9578</v>
      </c>
      <c r="H25" s="35">
        <f>ESA2010_jun26!H25-ESA2010_feb26!H25</f>
        <v>8088</v>
      </c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24</v>
      </c>
      <c r="B26" s="30">
        <f>ESA2010_jun26!B26-ESA2010_feb26!B26</f>
        <v>0</v>
      </c>
      <c r="C26" s="31">
        <f>ESA2010_jun26!C26-ESA2010_feb26!C26</f>
        <v>-59.725459999997838</v>
      </c>
      <c r="D26" s="30">
        <f>ESA2010_jun26!D26-ESA2010_feb26!D26</f>
        <v>-532</v>
      </c>
      <c r="E26" s="33">
        <f>ESA2010_jun26!E26-ESA2010_feb26!E26</f>
        <v>-2790</v>
      </c>
      <c r="F26" s="34">
        <f>ESA2010_jun26!F26-ESA2010_feb26!F26</f>
        <v>-2814</v>
      </c>
      <c r="G26" s="33">
        <f>ESA2010_jun26!G26-ESA2010_feb26!G26</f>
        <v>-2847</v>
      </c>
      <c r="H26" s="35">
        <f>ESA2010_jun26!H26-ESA2010_feb26!H26</f>
        <v>-2892</v>
      </c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9" t="s">
        <v>25</v>
      </c>
      <c r="B27" s="30">
        <f>ESA2010_jun26!B27-ESA2010_feb26!B27</f>
        <v>0</v>
      </c>
      <c r="C27" s="31">
        <f>ESA2010_jun26!C27-ESA2010_feb26!C27</f>
        <v>-107.22993999999744</v>
      </c>
      <c r="D27" s="30">
        <f>ESA2010_jun26!D27-ESA2010_feb26!D27</f>
        <v>-78</v>
      </c>
      <c r="E27" s="33">
        <f>ESA2010_jun26!E27-ESA2010_feb26!E27</f>
        <v>-70</v>
      </c>
      <c r="F27" s="34">
        <f>ESA2010_jun26!F27-ESA2010_feb26!F27</f>
        <v>-62</v>
      </c>
      <c r="G27" s="33">
        <f>ESA2010_jun26!G27-ESA2010_feb26!G27</f>
        <v>-52</v>
      </c>
      <c r="H27" s="35">
        <f>ESA2010_jun26!H27-ESA2010_feb26!H27</f>
        <v>-38</v>
      </c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9" t="s">
        <v>26</v>
      </c>
      <c r="B28" s="30">
        <f>ESA2010_jun26!B28-ESA2010_feb26!B28</f>
        <v>0</v>
      </c>
      <c r="C28" s="31">
        <f>ESA2010_jun26!C28-ESA2010_feb26!C28</f>
        <v>-1.684820000000002</v>
      </c>
      <c r="D28" s="30">
        <f>ESA2010_jun26!D28-ESA2010_feb26!D28</f>
        <v>42</v>
      </c>
      <c r="E28" s="33">
        <f>ESA2010_jun26!E28-ESA2010_feb26!E28</f>
        <v>36</v>
      </c>
      <c r="F28" s="34">
        <f>ESA2010_jun26!F28-ESA2010_feb26!F28</f>
        <v>32</v>
      </c>
      <c r="G28" s="33">
        <f>ESA2010_jun26!G28-ESA2010_feb26!G28</f>
        <v>27</v>
      </c>
      <c r="H28" s="35">
        <f>ESA2010_jun26!H28-ESA2010_feb26!H28</f>
        <v>23</v>
      </c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9" t="s">
        <v>91</v>
      </c>
      <c r="B29" s="30">
        <f>ESA2010_jun26!B29-ESA2010_feb26!B29</f>
        <v>0</v>
      </c>
      <c r="C29" s="31">
        <f>ESA2010_jun26!C29-ESA2010_feb26!C29</f>
        <v>-0.82315999999991618</v>
      </c>
      <c r="D29" s="30">
        <f>ESA2010_jun26!D29-ESA2010_feb26!D29</f>
        <v>140</v>
      </c>
      <c r="E29" s="33">
        <f>ESA2010_jun26!E29-ESA2010_feb26!E29</f>
        <v>182</v>
      </c>
      <c r="F29" s="34">
        <f>ESA2010_jun26!F29-ESA2010_feb26!F29</f>
        <v>224</v>
      </c>
      <c r="G29" s="33">
        <f>ESA2010_jun26!G29-ESA2010_feb26!G29</f>
        <v>282</v>
      </c>
      <c r="H29" s="35">
        <f>ESA2010_jun26!H29-ESA2010_feb26!H29</f>
        <v>360</v>
      </c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41" t="s">
        <v>27</v>
      </c>
      <c r="B30" s="42">
        <f t="shared" ref="B30:F30" si="9">SUM(B31:B34)</f>
        <v>0</v>
      </c>
      <c r="C30" s="43">
        <f t="shared" si="9"/>
        <v>0</v>
      </c>
      <c r="D30" s="171">
        <f t="shared" si="9"/>
        <v>-6759</v>
      </c>
      <c r="E30" s="45">
        <f t="shared" si="9"/>
        <v>-7214</v>
      </c>
      <c r="F30" s="45">
        <f t="shared" si="9"/>
        <v>-8246</v>
      </c>
      <c r="G30" s="282">
        <f t="shared" ref="G30:H30" si="10">SUM(G31:G34)</f>
        <v>-8666</v>
      </c>
      <c r="H30" s="43">
        <f t="shared" si="10"/>
        <v>-9062</v>
      </c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28</v>
      </c>
      <c r="B31" s="30">
        <f>ESA2010_jun26!B31-ESA2010_feb26!B31</f>
        <v>0</v>
      </c>
      <c r="C31" s="31">
        <f>ESA2010_jun26!C31-ESA2010_feb26!C31</f>
        <v>0</v>
      </c>
      <c r="D31" s="30">
        <f>ESA2010_jun26!D31-ESA2010_feb26!D31</f>
        <v>20</v>
      </c>
      <c r="E31" s="33">
        <f>ESA2010_jun26!E31-ESA2010_feb26!E31</f>
        <v>0</v>
      </c>
      <c r="F31" s="34">
        <f>ESA2010_jun26!F31-ESA2010_feb26!F31</f>
        <v>0</v>
      </c>
      <c r="G31" s="33">
        <f>ESA2010_jun26!G31-ESA2010_feb26!G31</f>
        <v>0</v>
      </c>
      <c r="H31" s="35">
        <f>ESA2010_jun26!H31-ESA2010_feb26!H31</f>
        <v>0</v>
      </c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29</v>
      </c>
      <c r="B32" s="30">
        <f>ESA2010_jun26!B32-ESA2010_feb26!B32</f>
        <v>0</v>
      </c>
      <c r="C32" s="31">
        <f>ESA2010_jun26!C32-ESA2010_feb26!C32</f>
        <v>0</v>
      </c>
      <c r="D32" s="30">
        <f>ESA2010_jun26!D32-ESA2010_feb26!D32</f>
        <v>0</v>
      </c>
      <c r="E32" s="33">
        <f>ESA2010_jun26!E32-ESA2010_feb26!E32</f>
        <v>0</v>
      </c>
      <c r="F32" s="34">
        <f>ESA2010_jun26!F32-ESA2010_feb26!F32</f>
        <v>0</v>
      </c>
      <c r="G32" s="33">
        <f>ESA2010_jun26!G32-ESA2010_feb26!G32</f>
        <v>0</v>
      </c>
      <c r="H32" s="35">
        <f>ESA2010_jun26!H32-ESA2010_feb26!H32</f>
        <v>0</v>
      </c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30</v>
      </c>
      <c r="B33" s="30">
        <f>ESA2010_jun26!B33-ESA2010_feb26!B33</f>
        <v>0</v>
      </c>
      <c r="C33" s="31">
        <f>ESA2010_jun26!C33-ESA2010_feb26!C33</f>
        <v>0</v>
      </c>
      <c r="D33" s="30">
        <f>ESA2010_jun26!D33-ESA2010_feb26!D33</f>
        <v>-6779</v>
      </c>
      <c r="E33" s="33">
        <f>ESA2010_jun26!E33-ESA2010_feb26!E33</f>
        <v>-7214</v>
      </c>
      <c r="F33" s="34">
        <f>ESA2010_jun26!F33-ESA2010_feb26!F33</f>
        <v>-8246</v>
      </c>
      <c r="G33" s="33">
        <f>ESA2010_jun26!G33-ESA2010_feb26!G33</f>
        <v>-8666</v>
      </c>
      <c r="H33" s="35">
        <f>ESA2010_jun26!H33-ESA2010_feb26!H33</f>
        <v>-9062</v>
      </c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31</v>
      </c>
      <c r="B34" s="30">
        <f>ESA2010_jun26!B34-ESA2010_feb26!B34</f>
        <v>0</v>
      </c>
      <c r="C34" s="31">
        <f>ESA2010_jun26!C34-ESA2010_feb26!C34</f>
        <v>0</v>
      </c>
      <c r="D34" s="30">
        <f>ESA2010_jun26!D34-ESA2010_feb26!D34</f>
        <v>0</v>
      </c>
      <c r="E34" s="33">
        <f>ESA2010_jun26!E34-ESA2010_feb26!E34</f>
        <v>0</v>
      </c>
      <c r="F34" s="34">
        <f>ESA2010_jun26!F34-ESA2010_feb26!F34</f>
        <v>0</v>
      </c>
      <c r="G34" s="33">
        <f>ESA2010_jun26!G34-ESA2010_feb26!G34</f>
        <v>0</v>
      </c>
      <c r="H34" s="35">
        <f>ESA2010_jun26!H34-ESA2010_feb26!H34</f>
        <v>0</v>
      </c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32</v>
      </c>
      <c r="B35" s="42">
        <f t="shared" ref="B35:G35" si="11">SUM(B36:B37)</f>
        <v>0</v>
      </c>
      <c r="C35" s="43">
        <f t="shared" si="11"/>
        <v>-1149.8088299998781</v>
      </c>
      <c r="D35" s="171">
        <f t="shared" si="11"/>
        <v>1119</v>
      </c>
      <c r="E35" s="45">
        <f t="shared" si="11"/>
        <v>2845</v>
      </c>
      <c r="F35" s="45">
        <f t="shared" si="11"/>
        <v>2330</v>
      </c>
      <c r="G35" s="282">
        <f t="shared" si="11"/>
        <v>5494</v>
      </c>
      <c r="H35" s="43">
        <f t="shared" ref="H35" si="12">SUM(H36:H37)</f>
        <v>7199</v>
      </c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33</v>
      </c>
      <c r="B36" s="30">
        <f>ESA2010_jun26!B36-ESA2010_feb26!B36</f>
        <v>0</v>
      </c>
      <c r="C36" s="31">
        <f>ESA2010_jun26!C36-ESA2010_feb26!C36</f>
        <v>-5719.6832399999257</v>
      </c>
      <c r="D36" s="30">
        <f>ESA2010_jun26!D36-ESA2010_feb26!D36</f>
        <v>-14</v>
      </c>
      <c r="E36" s="33">
        <f>ESA2010_jun26!E36-ESA2010_feb26!E36</f>
        <v>221</v>
      </c>
      <c r="F36" s="34">
        <f>ESA2010_jun26!F36-ESA2010_feb26!F36</f>
        <v>-1032</v>
      </c>
      <c r="G36" s="33">
        <f>ESA2010_jun26!G36-ESA2010_feb26!G36</f>
        <v>1051</v>
      </c>
      <c r="H36" s="35">
        <f>ESA2010_jun26!H36-ESA2010_feb26!H36</f>
        <v>2505</v>
      </c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34</v>
      </c>
      <c r="B37" s="30">
        <f>ESA2010_jun26!B37-ESA2010_feb26!B37</f>
        <v>0</v>
      </c>
      <c r="C37" s="31">
        <f>ESA2010_jun26!C37-ESA2010_feb26!C37</f>
        <v>4569.8744100000476</v>
      </c>
      <c r="D37" s="30">
        <f>ESA2010_jun26!D37-ESA2010_feb26!D37</f>
        <v>1133</v>
      </c>
      <c r="E37" s="33">
        <f>ESA2010_jun26!E37-ESA2010_feb26!E37</f>
        <v>2624</v>
      </c>
      <c r="F37" s="34">
        <f>ESA2010_jun26!F37-ESA2010_feb26!F37</f>
        <v>3362</v>
      </c>
      <c r="G37" s="33">
        <f>ESA2010_jun26!G37-ESA2010_feb26!G37</f>
        <v>4443</v>
      </c>
      <c r="H37" s="35">
        <f>ESA2010_jun26!H37-ESA2010_feb26!H37</f>
        <v>4694</v>
      </c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41" t="s">
        <v>37</v>
      </c>
      <c r="B38" s="42">
        <f>ESA2010_jun26!B38-ESA2010_feb26!B38</f>
        <v>0</v>
      </c>
      <c r="C38" s="43">
        <f>ESA2010_jun26!C38-ESA2010_feb26!C38</f>
        <v>-10130.592480000108</v>
      </c>
      <c r="D38" s="171">
        <f>ESA2010_jun26!D38-ESA2010_feb26!D38</f>
        <v>-21180</v>
      </c>
      <c r="E38" s="45">
        <f>ESA2010_jun26!E38-ESA2010_feb26!E38</f>
        <v>-13556</v>
      </c>
      <c r="F38" s="45">
        <f>ESA2010_jun26!F38-ESA2010_feb26!F38</f>
        <v>-8983</v>
      </c>
      <c r="G38" s="282">
        <f>ESA2010_jun26!G38-ESA2010_feb26!G38</f>
        <v>-10085</v>
      </c>
      <c r="H38" s="43">
        <f>ESA2010_jun26!H38-ESA2010_feb26!H38</f>
        <v>-12631</v>
      </c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38</v>
      </c>
      <c r="B39" s="30">
        <f>ESA2010_jun26!B39-ESA2010_feb26!B39</f>
        <v>0</v>
      </c>
      <c r="C39" s="31">
        <f>ESA2010_jun26!C39-ESA2010_feb26!C39</f>
        <v>0</v>
      </c>
      <c r="D39" s="30">
        <f>ESA2010_jun26!D39-ESA2010_feb26!D39</f>
        <v>0</v>
      </c>
      <c r="E39" s="33">
        <f>ESA2010_jun26!E39-ESA2010_feb26!E39</f>
        <v>0</v>
      </c>
      <c r="F39" s="34">
        <f>ESA2010_jun26!F39-ESA2010_feb26!F39</f>
        <v>0</v>
      </c>
      <c r="G39" s="33">
        <f>ESA2010_jun26!G39-ESA2010_feb26!G39</f>
        <v>0</v>
      </c>
      <c r="H39" s="35">
        <f>ESA2010_jun26!H39-ESA2010_feb26!H39</f>
        <v>0</v>
      </c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39</v>
      </c>
      <c r="B40" s="30">
        <f>ESA2010_jun26!B40-ESA2010_feb26!B40</f>
        <v>0</v>
      </c>
      <c r="C40" s="31">
        <f>ESA2010_jun26!C40-ESA2010_feb26!C40</f>
        <v>-5110</v>
      </c>
      <c r="D40" s="30">
        <f>ESA2010_jun26!D40-ESA2010_feb26!D40</f>
        <v>-5437</v>
      </c>
      <c r="E40" s="33">
        <f>ESA2010_jun26!E40-ESA2010_feb26!E40</f>
        <v>-4887</v>
      </c>
      <c r="F40" s="34">
        <f>ESA2010_jun26!F40-ESA2010_feb26!F40</f>
        <v>-4616</v>
      </c>
      <c r="G40" s="33">
        <f>ESA2010_jun26!G40-ESA2010_feb26!G40</f>
        <v>-4223</v>
      </c>
      <c r="H40" s="35">
        <f>ESA2010_jun26!H40-ESA2010_feb26!H40</f>
        <v>-4136</v>
      </c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40</v>
      </c>
      <c r="B41" s="30">
        <f>ESA2010_jun26!B41-ESA2010_feb26!B41</f>
        <v>0</v>
      </c>
      <c r="C41" s="31">
        <f>ESA2010_jun26!C41-ESA2010_feb26!C41</f>
        <v>0</v>
      </c>
      <c r="D41" s="30">
        <f>ESA2010_jun26!D41-ESA2010_feb26!D41</f>
        <v>0</v>
      </c>
      <c r="E41" s="33">
        <f>ESA2010_jun26!E41-ESA2010_feb26!E41</f>
        <v>0</v>
      </c>
      <c r="F41" s="34">
        <f>ESA2010_jun26!F41-ESA2010_feb26!F41</f>
        <v>0</v>
      </c>
      <c r="G41" s="33">
        <f>ESA2010_jun26!G41-ESA2010_feb26!G41</f>
        <v>0</v>
      </c>
      <c r="H41" s="35">
        <f>ESA2010_jun26!H41-ESA2010_feb26!H41</f>
        <v>0</v>
      </c>
      <c r="I41" s="23"/>
      <c r="J41" s="23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41</v>
      </c>
      <c r="B42" s="30">
        <f>ESA2010_jun26!B42-ESA2010_feb26!B42</f>
        <v>0</v>
      </c>
      <c r="C42" s="31">
        <f>ESA2010_jun26!C42-ESA2010_feb26!C42</f>
        <v>-10171</v>
      </c>
      <c r="D42" s="30">
        <f>ESA2010_jun26!D42-ESA2010_feb26!D42</f>
        <v>-2488</v>
      </c>
      <c r="E42" s="33">
        <f>ESA2010_jun26!E42-ESA2010_feb26!E42</f>
        <v>5792</v>
      </c>
      <c r="F42" s="34">
        <f>ESA2010_jun26!F42-ESA2010_feb26!F42</f>
        <v>8417</v>
      </c>
      <c r="G42" s="33">
        <f>ESA2010_jun26!G42-ESA2010_feb26!G42</f>
        <v>6289</v>
      </c>
      <c r="H42" s="35">
        <f>ESA2010_jun26!H42-ESA2010_feb26!H42</f>
        <v>4674</v>
      </c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88</v>
      </c>
      <c r="B43" s="30">
        <f>ESA2010_jun26!B43-ESA2010_feb26!B43</f>
        <v>0</v>
      </c>
      <c r="C43" s="31">
        <f>ESA2010_jun26!C43-ESA2010_feb26!C43</f>
        <v>0</v>
      </c>
      <c r="D43" s="30">
        <f>ESA2010_jun26!D43-ESA2010_feb26!D43</f>
        <v>0</v>
      </c>
      <c r="E43" s="33">
        <f>ESA2010_jun26!E43-ESA2010_feb26!E43</f>
        <v>0</v>
      </c>
      <c r="F43" s="34">
        <f>ESA2010_jun26!F43-ESA2010_feb26!F43</f>
        <v>0</v>
      </c>
      <c r="G43" s="33">
        <f>ESA2010_jun26!G43-ESA2010_feb26!G43</f>
        <v>0</v>
      </c>
      <c r="H43" s="35">
        <f>ESA2010_jun26!H43-ESA2010_feb26!H43</f>
        <v>0</v>
      </c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3" t="s">
        <v>89</v>
      </c>
      <c r="B44" s="30">
        <f>ESA2010_jun26!B44-ESA2010_feb26!B44</f>
        <v>0</v>
      </c>
      <c r="C44" s="31">
        <f>ESA2010_jun26!C44-ESA2010_feb26!C44</f>
        <v>0</v>
      </c>
      <c r="D44" s="30">
        <f>ESA2010_jun26!D44-ESA2010_feb26!D44</f>
        <v>0</v>
      </c>
      <c r="E44" s="33">
        <f>ESA2010_jun26!E44-ESA2010_feb26!E44</f>
        <v>0</v>
      </c>
      <c r="F44" s="34">
        <f>ESA2010_jun26!F44-ESA2010_feb26!F44</f>
        <v>0</v>
      </c>
      <c r="G44" s="33">
        <f>ESA2010_jun26!G44-ESA2010_feb26!G44</f>
        <v>0</v>
      </c>
      <c r="H44" s="35">
        <f>ESA2010_jun26!H44-ESA2010_feb26!H44</f>
        <v>0</v>
      </c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3" t="s">
        <v>42</v>
      </c>
      <c r="B45" s="30">
        <f>ESA2010_jun26!B45-ESA2010_feb26!B45</f>
        <v>0</v>
      </c>
      <c r="C45" s="31">
        <f>ESA2010_jun26!C45-ESA2010_feb26!C45</f>
        <v>1242.38833</v>
      </c>
      <c r="D45" s="30">
        <f>ESA2010_jun26!D45-ESA2010_feb26!D45</f>
        <v>400</v>
      </c>
      <c r="E45" s="33">
        <f>ESA2010_jun26!E45-ESA2010_feb26!E45</f>
        <v>0</v>
      </c>
      <c r="F45" s="34">
        <f>ESA2010_jun26!F45-ESA2010_feb26!F45</f>
        <v>0</v>
      </c>
      <c r="G45" s="33">
        <f>ESA2010_jun26!G45-ESA2010_feb26!G45</f>
        <v>0</v>
      </c>
      <c r="H45" s="35">
        <f>ESA2010_jun26!H45-ESA2010_feb26!H45</f>
        <v>0</v>
      </c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43</v>
      </c>
      <c r="B46" s="30">
        <f>ESA2010_jun26!B46-ESA2010_feb26!B46</f>
        <v>0</v>
      </c>
      <c r="C46" s="31">
        <f>ESA2010_jun26!C46-ESA2010_feb26!C46</f>
        <v>-16.786409999999989</v>
      </c>
      <c r="D46" s="30">
        <f>ESA2010_jun26!D46-ESA2010_feb26!D46</f>
        <v>159</v>
      </c>
      <c r="E46" s="33">
        <f>ESA2010_jun26!E46-ESA2010_feb26!E46</f>
        <v>159</v>
      </c>
      <c r="F46" s="34">
        <f>ESA2010_jun26!F46-ESA2010_feb26!F46</f>
        <v>159</v>
      </c>
      <c r="G46" s="33">
        <f>ESA2010_jun26!G46-ESA2010_feb26!G46</f>
        <v>159</v>
      </c>
      <c r="H46" s="35">
        <f>ESA2010_jun26!H46-ESA2010_feb26!H46</f>
        <v>159</v>
      </c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6" t="s">
        <v>10</v>
      </c>
      <c r="B47" s="30">
        <f>ESA2010_jun26!B47-ESA2010_feb26!B47</f>
        <v>0</v>
      </c>
      <c r="C47" s="26">
        <f>ESA2010_jun26!C47-ESA2010_feb26!C47</f>
        <v>0</v>
      </c>
      <c r="D47" s="172">
        <f>ESA2010_jun26!D47-ESA2010_feb26!D47</f>
        <v>0</v>
      </c>
      <c r="E47" s="40">
        <f>ESA2010_jun26!E47-ESA2010_feb26!E47</f>
        <v>0</v>
      </c>
      <c r="F47" s="40">
        <f>ESA2010_jun26!F47-ESA2010_feb26!F47</f>
        <v>0</v>
      </c>
      <c r="G47" s="283">
        <f>ESA2010_jun26!G47-ESA2010_feb26!G47</f>
        <v>0</v>
      </c>
      <c r="H47" s="54">
        <f>ESA2010_jun26!H47-ESA2010_feb26!H47</f>
        <v>0</v>
      </c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56" t="s">
        <v>11</v>
      </c>
      <c r="B48" s="30">
        <f>ESA2010_jun26!B48-ESA2010_feb26!B48</f>
        <v>0</v>
      </c>
      <c r="C48" s="26">
        <f>ESA2010_jun26!C48-ESA2010_feb26!C48</f>
        <v>-16.786409999999989</v>
      </c>
      <c r="D48" s="172">
        <f>ESA2010_jun26!D48-ESA2010_feb26!D48</f>
        <v>159</v>
      </c>
      <c r="E48" s="40">
        <f>ESA2010_jun26!E48-ESA2010_feb26!E48</f>
        <v>159</v>
      </c>
      <c r="F48" s="40">
        <f>ESA2010_jun26!F48-ESA2010_feb26!F48</f>
        <v>159</v>
      </c>
      <c r="G48" s="283">
        <f>ESA2010_jun26!G48-ESA2010_feb26!G48</f>
        <v>159</v>
      </c>
      <c r="H48" s="54">
        <f>ESA2010_jun26!H48-ESA2010_feb26!H48</f>
        <v>159</v>
      </c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44</v>
      </c>
      <c r="B49" s="30">
        <f>ESA2010_jun26!B49-ESA2010_feb26!B49</f>
        <v>0</v>
      </c>
      <c r="C49" s="26">
        <f>ESA2010_jun26!C49-ESA2010_feb26!C49</f>
        <v>0</v>
      </c>
      <c r="D49" s="172">
        <f>ESA2010_jun26!D49-ESA2010_feb26!D49</f>
        <v>332</v>
      </c>
      <c r="E49" s="40">
        <f>ESA2010_jun26!E49-ESA2010_feb26!E49</f>
        <v>0</v>
      </c>
      <c r="F49" s="40">
        <f>ESA2010_jun26!F49-ESA2010_feb26!F49</f>
        <v>0</v>
      </c>
      <c r="G49" s="283">
        <f>ESA2010_jun26!G49-ESA2010_feb26!G49</f>
        <v>0</v>
      </c>
      <c r="H49" s="54">
        <f>ESA2010_jun26!H49-ESA2010_feb26!H49</f>
        <v>0</v>
      </c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53" t="s">
        <v>45</v>
      </c>
      <c r="B50" s="30">
        <f>ESA2010_jun26!B50-ESA2010_feb26!B50</f>
        <v>0</v>
      </c>
      <c r="C50" s="26">
        <f>ESA2010_jun26!C50-ESA2010_feb26!C50</f>
        <v>0</v>
      </c>
      <c r="D50" s="172">
        <f>ESA2010_jun26!D50-ESA2010_feb26!D50</f>
        <v>-66</v>
      </c>
      <c r="E50" s="40">
        <f>ESA2010_jun26!E50-ESA2010_feb26!E50</f>
        <v>42</v>
      </c>
      <c r="F50" s="40">
        <f>ESA2010_jun26!F50-ESA2010_feb26!F50</f>
        <v>92</v>
      </c>
      <c r="G50" s="283">
        <f>ESA2010_jun26!G50-ESA2010_feb26!G50</f>
        <v>167</v>
      </c>
      <c r="H50" s="54">
        <f>ESA2010_jun26!H50-ESA2010_feb26!H50</f>
        <v>181</v>
      </c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45" t="s">
        <v>92</v>
      </c>
      <c r="B51" s="30">
        <f>ESA2010_jun26!B51-ESA2010_feb26!B51</f>
        <v>0</v>
      </c>
      <c r="C51" s="26">
        <f>ESA2010_jun26!C51-ESA2010_feb26!C51</f>
        <v>-4.8085299999802373</v>
      </c>
      <c r="D51" s="172">
        <f>ESA2010_jun26!D51-ESA2010_feb26!D51</f>
        <v>-23313</v>
      </c>
      <c r="E51" s="40">
        <f>ESA2010_jun26!E51-ESA2010_feb26!E51</f>
        <v>-21322</v>
      </c>
      <c r="F51" s="40">
        <f>ESA2010_jun26!F51-ESA2010_feb26!F51</f>
        <v>-20617</v>
      </c>
      <c r="G51" s="283">
        <f>ESA2010_jun26!G51-ESA2010_feb26!G51</f>
        <v>-20785</v>
      </c>
      <c r="H51" s="54">
        <f>ESA2010_jun26!H51-ESA2010_feb26!H51</f>
        <v>-22134</v>
      </c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46</v>
      </c>
      <c r="B52" s="30">
        <f>ESA2010_jun26!B52-ESA2010_feb26!B52</f>
        <v>0</v>
      </c>
      <c r="C52" s="26">
        <f>ESA2010_jun26!C52-ESA2010_feb26!C52</f>
        <v>0</v>
      </c>
      <c r="D52" s="172">
        <f>ESA2010_jun26!D52-ESA2010_feb26!D52</f>
        <v>2</v>
      </c>
      <c r="E52" s="40">
        <f>ESA2010_jun26!E52-ESA2010_feb26!E52</f>
        <v>0</v>
      </c>
      <c r="F52" s="40">
        <f>ESA2010_jun26!F52-ESA2010_feb26!F52</f>
        <v>0</v>
      </c>
      <c r="G52" s="283">
        <f>ESA2010_jun26!G52-ESA2010_feb26!G52</f>
        <v>0</v>
      </c>
      <c r="H52" s="54">
        <f>ESA2010_jun26!H52-ESA2010_feb26!H52</f>
        <v>0</v>
      </c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24" t="s">
        <v>85</v>
      </c>
      <c r="B53" s="30">
        <f>ESA2010_jun26!B53-ESA2010_feb26!B53</f>
        <v>0</v>
      </c>
      <c r="C53" s="26">
        <f>ESA2010_jun26!C53-ESA2010_feb26!C53</f>
        <v>3929.6141300000018</v>
      </c>
      <c r="D53" s="172">
        <f>ESA2010_jun26!D53-ESA2010_feb26!D53</f>
        <v>9231</v>
      </c>
      <c r="E53" s="40">
        <f>ESA2010_jun26!E53-ESA2010_feb26!E53</f>
        <v>6660</v>
      </c>
      <c r="F53" s="40">
        <f>ESA2010_jun26!F53-ESA2010_feb26!F53</f>
        <v>7582</v>
      </c>
      <c r="G53" s="283">
        <f>ESA2010_jun26!G53-ESA2010_feb26!G53</f>
        <v>8308</v>
      </c>
      <c r="H53" s="54">
        <f>ESA2010_jun26!H53-ESA2010_feb26!H53</f>
        <v>8625</v>
      </c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36" t="s">
        <v>10</v>
      </c>
      <c r="B54" s="30">
        <f>ESA2010_jun26!B54-ESA2010_feb26!B54</f>
        <v>0</v>
      </c>
      <c r="C54" s="26">
        <f>ESA2010_jun26!C54-ESA2010_feb26!C54</f>
        <v>-59.199600000007194</v>
      </c>
      <c r="D54" s="172">
        <f>ESA2010_jun26!D54-ESA2010_feb26!D54</f>
        <v>4447</v>
      </c>
      <c r="E54" s="40">
        <f>ESA2010_jun26!E54-ESA2010_feb26!E54</f>
        <v>1341</v>
      </c>
      <c r="F54" s="40">
        <f>ESA2010_jun26!F54-ESA2010_feb26!F54</f>
        <v>1910</v>
      </c>
      <c r="G54" s="283">
        <f>ESA2010_jun26!G54-ESA2010_feb26!G54</f>
        <v>2181</v>
      </c>
      <c r="H54" s="54">
        <f>ESA2010_jun26!H54-ESA2010_feb26!H54</f>
        <v>2143</v>
      </c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36" t="s">
        <v>11</v>
      </c>
      <c r="B55" s="30">
        <f>ESA2010_jun26!B55-ESA2010_feb26!B55</f>
        <v>0</v>
      </c>
      <c r="C55" s="26">
        <f>ESA2010_jun26!C55-ESA2010_feb26!C55</f>
        <v>35.377330000000001</v>
      </c>
      <c r="D55" s="172">
        <f>ESA2010_jun26!D55-ESA2010_feb26!D55</f>
        <v>0</v>
      </c>
      <c r="E55" s="40">
        <f>ESA2010_jun26!E55-ESA2010_feb26!E55</f>
        <v>0</v>
      </c>
      <c r="F55" s="40">
        <f>ESA2010_jun26!F55-ESA2010_feb26!F55</f>
        <v>0</v>
      </c>
      <c r="G55" s="283">
        <f>ESA2010_jun26!G55-ESA2010_feb26!G55</f>
        <v>0</v>
      </c>
      <c r="H55" s="54">
        <f>ESA2010_jun26!H55-ESA2010_feb26!H55</f>
        <v>0</v>
      </c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8" t="s">
        <v>12</v>
      </c>
      <c r="B56" s="30">
        <f>ESA2010_jun26!B56-ESA2010_feb26!B56</f>
        <v>0</v>
      </c>
      <c r="C56" s="26">
        <f>ESA2010_jun26!C56-ESA2010_feb26!C56</f>
        <v>0</v>
      </c>
      <c r="D56" s="172">
        <f>ESA2010_jun26!D56-ESA2010_feb26!D56</f>
        <v>0</v>
      </c>
      <c r="E56" s="40">
        <f>ESA2010_jun26!E56-ESA2010_feb26!E56</f>
        <v>0</v>
      </c>
      <c r="F56" s="40">
        <f>ESA2010_jun26!F56-ESA2010_feb26!F56</f>
        <v>0</v>
      </c>
      <c r="G56" s="283">
        <f>ESA2010_jun26!G56-ESA2010_feb26!G56</f>
        <v>0</v>
      </c>
      <c r="H56" s="54">
        <f>ESA2010_jun26!H56-ESA2010_feb26!H56</f>
        <v>0</v>
      </c>
      <c r="I56" s="23"/>
      <c r="J56" s="23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36" t="s">
        <v>49</v>
      </c>
      <c r="B57" s="30">
        <f>ESA2010_jun26!B57-ESA2010_feb26!B57</f>
        <v>0</v>
      </c>
      <c r="C57" s="26">
        <f>ESA2010_jun26!C57-ESA2010_feb26!C57</f>
        <v>3953.4363999999987</v>
      </c>
      <c r="D57" s="172">
        <f>ESA2010_jun26!D57-ESA2010_feb26!D57</f>
        <v>4784</v>
      </c>
      <c r="E57" s="40">
        <f>ESA2010_jun26!E57-ESA2010_feb26!E57</f>
        <v>5319</v>
      </c>
      <c r="F57" s="40">
        <f>ESA2010_jun26!F57-ESA2010_feb26!F57</f>
        <v>5672</v>
      </c>
      <c r="G57" s="283">
        <f>ESA2010_jun26!G57-ESA2010_feb26!G57</f>
        <v>6127</v>
      </c>
      <c r="H57" s="54">
        <f>ESA2010_jun26!H57-ESA2010_feb26!H57</f>
        <v>6482</v>
      </c>
      <c r="I57" s="23"/>
      <c r="J57" s="23"/>
      <c r="K57" s="23"/>
      <c r="L57" s="23"/>
      <c r="M57" s="23"/>
      <c r="N57" s="23"/>
      <c r="O57" s="23"/>
      <c r="P57" s="23"/>
      <c r="Q57" s="23"/>
    </row>
    <row r="58" spans="1:17" ht="14.25" customHeight="1" x14ac:dyDescent="0.25">
      <c r="A58" s="59" t="s">
        <v>50</v>
      </c>
      <c r="B58" s="30">
        <f>ESA2010_jun26!B58-ESA2010_feb26!B58</f>
        <v>0</v>
      </c>
      <c r="C58" s="26">
        <f>ESA2010_jun26!C58-ESA2010_feb26!C58</f>
        <v>0.12627999999999995</v>
      </c>
      <c r="D58" s="172">
        <f>ESA2010_jun26!D58-ESA2010_feb26!D58</f>
        <v>0</v>
      </c>
      <c r="E58" s="40">
        <f>ESA2010_jun26!E58-ESA2010_feb26!E58</f>
        <v>0</v>
      </c>
      <c r="F58" s="40">
        <f>ESA2010_jun26!F58-ESA2010_feb26!F58</f>
        <v>0</v>
      </c>
      <c r="G58" s="283">
        <f>ESA2010_jun26!G58-ESA2010_feb26!G58</f>
        <v>0</v>
      </c>
      <c r="H58" s="54">
        <f>ESA2010_jun26!H58-ESA2010_feb26!H58</f>
        <v>0</v>
      </c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4.25" customHeight="1" x14ac:dyDescent="0.25">
      <c r="A59" s="59" t="s">
        <v>51</v>
      </c>
      <c r="B59" s="30">
        <f>ESA2010_jun26!B59-ESA2010_feb26!B59</f>
        <v>0</v>
      </c>
      <c r="C59" s="26">
        <f>ESA2010_jun26!C59-ESA2010_feb26!C59</f>
        <v>0.11331999999999987</v>
      </c>
      <c r="D59" s="172">
        <f>ESA2010_jun26!D59-ESA2010_feb26!D59</f>
        <v>0</v>
      </c>
      <c r="E59" s="40">
        <f>ESA2010_jun26!E59-ESA2010_feb26!E59</f>
        <v>0</v>
      </c>
      <c r="F59" s="40">
        <f>ESA2010_jun26!F59-ESA2010_feb26!F59</f>
        <v>0</v>
      </c>
      <c r="G59" s="283">
        <f>ESA2010_jun26!G59-ESA2010_feb26!G59</f>
        <v>0</v>
      </c>
      <c r="H59" s="54">
        <f>ESA2010_jun26!H59-ESA2010_feb26!H59</f>
        <v>0</v>
      </c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14.25" customHeight="1" x14ac:dyDescent="0.25">
      <c r="A60" s="59" t="s">
        <v>52</v>
      </c>
      <c r="B60" s="30">
        <f>ESA2010_jun26!B60-ESA2010_feb26!B60</f>
        <v>0</v>
      </c>
      <c r="C60" s="26">
        <f>ESA2010_jun26!C60-ESA2010_feb26!C60</f>
        <v>2.4827399999921909</v>
      </c>
      <c r="D60" s="172">
        <f>ESA2010_jun26!D60-ESA2010_feb26!D60</f>
        <v>4447</v>
      </c>
      <c r="E60" s="40">
        <f>ESA2010_jun26!E60-ESA2010_feb26!E60</f>
        <v>1341</v>
      </c>
      <c r="F60" s="40">
        <f>ESA2010_jun26!F60-ESA2010_feb26!F60</f>
        <v>1910</v>
      </c>
      <c r="G60" s="283">
        <f>ESA2010_jun26!G60-ESA2010_feb26!G60</f>
        <v>2181</v>
      </c>
      <c r="H60" s="54">
        <f>ESA2010_jun26!H60-ESA2010_feb26!H60</f>
        <v>2143</v>
      </c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14.25" customHeight="1" thickBot="1" x14ac:dyDescent="0.3">
      <c r="A61" s="60" t="s">
        <v>53</v>
      </c>
      <c r="B61" s="118">
        <f>ESA2010_jun26!B61-ESA2010_feb26!B61</f>
        <v>0</v>
      </c>
      <c r="C61" s="62">
        <f>ESA2010_jun26!C61-ESA2010_feb26!C61</f>
        <v>3953.4363999999987</v>
      </c>
      <c r="D61" s="188">
        <f>ESA2010_jun26!D61-ESA2010_feb26!D61</f>
        <v>4784</v>
      </c>
      <c r="E61" s="64">
        <f>ESA2010_jun26!E61-ESA2010_feb26!E61</f>
        <v>5319</v>
      </c>
      <c r="F61" s="64">
        <f>ESA2010_jun26!F61-ESA2010_feb26!F61</f>
        <v>5672</v>
      </c>
      <c r="G61" s="284">
        <f>ESA2010_jun26!G61-ESA2010_feb26!G61</f>
        <v>6127</v>
      </c>
      <c r="H61" s="62">
        <f>ESA2010_jun26!H61-ESA2010_feb26!H61</f>
        <v>6482</v>
      </c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16" t="s">
        <v>54</v>
      </c>
      <c r="B62" s="65">
        <f t="shared" ref="B62:F62" si="13">B63+B67</f>
        <v>0</v>
      </c>
      <c r="C62" s="66">
        <f t="shared" si="13"/>
        <v>-14035.455263101234</v>
      </c>
      <c r="D62" s="169">
        <f t="shared" si="13"/>
        <v>50331</v>
      </c>
      <c r="E62" s="67">
        <f t="shared" si="13"/>
        <v>71390</v>
      </c>
      <c r="F62" s="67">
        <f t="shared" si="13"/>
        <v>160756</v>
      </c>
      <c r="G62" s="285">
        <f t="shared" ref="G62:H62" si="14">G63+G67</f>
        <v>248883</v>
      </c>
      <c r="H62" s="66">
        <f t="shared" si="14"/>
        <v>274056</v>
      </c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72" t="s">
        <v>55</v>
      </c>
      <c r="B63" s="42">
        <f t="shared" ref="B63:H63" si="15">B64</f>
        <v>0</v>
      </c>
      <c r="C63" s="43">
        <f t="shared" si="15"/>
        <v>-20395.975873017422</v>
      </c>
      <c r="D63" s="171">
        <f t="shared" si="15"/>
        <v>30348</v>
      </c>
      <c r="E63" s="45">
        <f t="shared" si="15"/>
        <v>25723</v>
      </c>
      <c r="F63" s="45">
        <f t="shared" si="15"/>
        <v>92156</v>
      </c>
      <c r="G63" s="282">
        <f t="shared" si="15"/>
        <v>154998</v>
      </c>
      <c r="H63" s="43">
        <f t="shared" si="15"/>
        <v>174038</v>
      </c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29" t="s">
        <v>56</v>
      </c>
      <c r="B64" s="25">
        <f t="shared" ref="B64:F64" si="16">B65+B66</f>
        <v>0</v>
      </c>
      <c r="C64" s="26">
        <f t="shared" si="16"/>
        <v>-20395.975873017422</v>
      </c>
      <c r="D64" s="170">
        <f t="shared" si="16"/>
        <v>30348</v>
      </c>
      <c r="E64" s="28">
        <f t="shared" si="16"/>
        <v>25723</v>
      </c>
      <c r="F64" s="28">
        <f t="shared" si="16"/>
        <v>92156</v>
      </c>
      <c r="G64" s="55">
        <f t="shared" ref="G64:H64" si="17">G65+G66</f>
        <v>154998</v>
      </c>
      <c r="H64" s="26">
        <f t="shared" si="17"/>
        <v>174038</v>
      </c>
      <c r="I64" s="23"/>
      <c r="J64" s="23"/>
      <c r="K64" s="23"/>
      <c r="L64" s="23"/>
      <c r="M64" s="23"/>
      <c r="N64" s="23"/>
      <c r="O64" s="23"/>
      <c r="P64" s="23"/>
      <c r="Q64" s="23"/>
    </row>
    <row r="65" spans="1:19" ht="13.5" customHeight="1" x14ac:dyDescent="0.25">
      <c r="A65" s="29" t="s">
        <v>57</v>
      </c>
      <c r="B65" s="30">
        <f>ESA2010_jun26!B65-ESA2010_feb26!B65</f>
        <v>0</v>
      </c>
      <c r="C65" s="31">
        <f>ESA2010_jun26!C65-ESA2010_feb26!C65</f>
        <v>-20885.623593017459</v>
      </c>
      <c r="D65" s="30">
        <f>ESA2010_jun26!D65-ESA2010_feb26!D65</f>
        <v>48196</v>
      </c>
      <c r="E65" s="33">
        <f>ESA2010_jun26!E65-ESA2010_feb26!E65</f>
        <v>43173</v>
      </c>
      <c r="F65" s="34">
        <f>ESA2010_jun26!F65-ESA2010_feb26!F65</f>
        <v>109210</v>
      </c>
      <c r="G65" s="33">
        <f>ESA2010_jun26!G65-ESA2010_feb26!G65</f>
        <v>171717</v>
      </c>
      <c r="H65" s="35">
        <f>ESA2010_jun26!H65-ESA2010_feb26!H65</f>
        <v>190763</v>
      </c>
      <c r="I65" s="23"/>
      <c r="J65" s="23"/>
      <c r="K65" s="23"/>
      <c r="L65" s="23"/>
      <c r="M65" s="23"/>
      <c r="N65" s="23"/>
      <c r="O65" s="23"/>
      <c r="P65" s="23"/>
      <c r="Q65" s="23"/>
    </row>
    <row r="66" spans="1:19" ht="13.5" customHeight="1" x14ac:dyDescent="0.25">
      <c r="A66" s="29" t="s">
        <v>58</v>
      </c>
      <c r="B66" s="30">
        <f>ESA2010_jun26!B66-ESA2010_feb26!B66</f>
        <v>0</v>
      </c>
      <c r="C66" s="31">
        <f>ESA2010_jun26!C66-ESA2010_feb26!C66</f>
        <v>489.64772000003722</v>
      </c>
      <c r="D66" s="30">
        <f>ESA2010_jun26!D66-ESA2010_feb26!D66</f>
        <v>-17848</v>
      </c>
      <c r="E66" s="33">
        <f>ESA2010_jun26!E66-ESA2010_feb26!E66</f>
        <v>-17450</v>
      </c>
      <c r="F66" s="34">
        <f>ESA2010_jun26!F66-ESA2010_feb26!F66</f>
        <v>-17054</v>
      </c>
      <c r="G66" s="33">
        <f>ESA2010_jun26!G66-ESA2010_feb26!G66</f>
        <v>-16719</v>
      </c>
      <c r="H66" s="35">
        <f>ESA2010_jun26!H66-ESA2010_feb26!H66</f>
        <v>-16725</v>
      </c>
      <c r="I66" s="23"/>
      <c r="J66" s="23"/>
      <c r="K66" s="23"/>
      <c r="L66" s="23"/>
      <c r="M66" s="23"/>
      <c r="N66" s="23"/>
      <c r="O66" s="23"/>
      <c r="P66" s="23"/>
      <c r="Q66" s="23"/>
    </row>
    <row r="67" spans="1:19" ht="13.5" customHeight="1" x14ac:dyDescent="0.25">
      <c r="A67" s="72" t="s">
        <v>59</v>
      </c>
      <c r="B67" s="42">
        <f t="shared" ref="B67:H67" si="18">B68</f>
        <v>0</v>
      </c>
      <c r="C67" s="43">
        <f t="shared" si="18"/>
        <v>6360.5206099161878</v>
      </c>
      <c r="D67" s="171">
        <f t="shared" si="18"/>
        <v>19983</v>
      </c>
      <c r="E67" s="45">
        <f t="shared" si="18"/>
        <v>45667</v>
      </c>
      <c r="F67" s="45">
        <f t="shared" si="18"/>
        <v>68600</v>
      </c>
      <c r="G67" s="282">
        <f t="shared" si="18"/>
        <v>93885</v>
      </c>
      <c r="H67" s="43">
        <f t="shared" si="18"/>
        <v>100018</v>
      </c>
      <c r="I67" s="23"/>
      <c r="J67" s="23"/>
      <c r="K67" s="23"/>
      <c r="L67" s="23"/>
      <c r="M67" s="23"/>
      <c r="N67" s="23"/>
      <c r="O67" s="23"/>
      <c r="P67" s="23"/>
      <c r="Q67" s="23"/>
    </row>
    <row r="68" spans="1:19" ht="13.5" customHeight="1" x14ac:dyDescent="0.25">
      <c r="A68" s="29" t="s">
        <v>56</v>
      </c>
      <c r="B68" s="30">
        <f>ESA2010_jun26!B68-ESA2010_feb26!B68</f>
        <v>0</v>
      </c>
      <c r="C68" s="31">
        <f>ESA2010_jun26!C68-ESA2010_feb26!C68</f>
        <v>6360.5206099161878</v>
      </c>
      <c r="D68" s="30">
        <f>ESA2010_jun26!D68-ESA2010_feb26!D68</f>
        <v>19983</v>
      </c>
      <c r="E68" s="33">
        <f>ESA2010_jun26!E68-ESA2010_feb26!E68</f>
        <v>45667</v>
      </c>
      <c r="F68" s="34">
        <f>ESA2010_jun26!F68-ESA2010_feb26!F68</f>
        <v>68600</v>
      </c>
      <c r="G68" s="33">
        <f>ESA2010_jun26!G68-ESA2010_feb26!G68</f>
        <v>93885</v>
      </c>
      <c r="H68" s="35">
        <f>ESA2010_jun26!H68-ESA2010_feb26!H68</f>
        <v>100018</v>
      </c>
      <c r="I68" s="23"/>
      <c r="J68" s="23"/>
      <c r="K68" s="23"/>
      <c r="L68" s="23"/>
      <c r="M68" s="23"/>
      <c r="N68" s="23"/>
      <c r="O68" s="23"/>
      <c r="P68" s="23"/>
      <c r="Q68" s="23"/>
    </row>
    <row r="69" spans="1:19" ht="14.25" customHeight="1" thickBot="1" x14ac:dyDescent="0.3">
      <c r="A69" s="76" t="s">
        <v>60</v>
      </c>
      <c r="B69" s="30">
        <f>ESA2010_jun26!B69-ESA2010_feb26!B69</f>
        <v>-0.18422000001010019</v>
      </c>
      <c r="C69" s="31">
        <f>ESA2010_jun26!C69-ESA2010_feb26!C69</f>
        <v>-71.4935199999818</v>
      </c>
      <c r="D69" s="30">
        <f>ESA2010_jun26!D69-ESA2010_feb26!D69</f>
        <v>-1806</v>
      </c>
      <c r="E69" s="33">
        <f>ESA2010_jun26!E69-ESA2010_feb26!E69</f>
        <v>-1415</v>
      </c>
      <c r="F69" s="34">
        <f>ESA2010_jun26!F69-ESA2010_feb26!F69</f>
        <v>-960</v>
      </c>
      <c r="G69" s="33">
        <f>ESA2010_jun26!G69-ESA2010_feb26!G69</f>
        <v>-577</v>
      </c>
      <c r="H69" s="35">
        <f>ESA2010_jun26!H69-ESA2010_feb26!H69</f>
        <v>-255</v>
      </c>
      <c r="I69" s="23"/>
      <c r="J69" s="23"/>
      <c r="K69" s="23"/>
      <c r="L69" s="23"/>
      <c r="M69" s="23"/>
      <c r="N69" s="23"/>
      <c r="O69" s="23"/>
      <c r="P69" s="23"/>
      <c r="Q69" s="23"/>
    </row>
    <row r="70" spans="1:19" ht="14.25" customHeight="1" thickBot="1" x14ac:dyDescent="0.3">
      <c r="A70" s="78" t="s">
        <v>61</v>
      </c>
      <c r="B70" s="79">
        <f t="shared" ref="B70:G70" si="19">B38+B35+B30+B18+B5</f>
        <v>0</v>
      </c>
      <c r="C70" s="80">
        <f t="shared" si="19"/>
        <v>-260219.07701540223</v>
      </c>
      <c r="D70" s="173">
        <f t="shared" si="19"/>
        <v>-145448</v>
      </c>
      <c r="E70" s="82">
        <f t="shared" si="19"/>
        <v>236542</v>
      </c>
      <c r="F70" s="82">
        <f t="shared" si="19"/>
        <v>389203</v>
      </c>
      <c r="G70" s="238">
        <f t="shared" si="19"/>
        <v>512819</v>
      </c>
      <c r="H70" s="80">
        <f t="shared" ref="H70" si="20">H38+H35+H30+H18+H5</f>
        <v>527400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3.5" customHeight="1" x14ac:dyDescent="0.25">
      <c r="A71" s="83" t="s">
        <v>62</v>
      </c>
      <c r="B71" s="25">
        <f>ESA2010_jun26!B71-ESA2010_feb26!B71</f>
        <v>0</v>
      </c>
      <c r="C71" s="84">
        <f>ESA2010_jun26!C71-ESA2010_feb26!C71</f>
        <v>-264148.44056539983</v>
      </c>
      <c r="D71" s="170">
        <f>ESA2010_jun26!D71-ESA2010_feb26!D71</f>
        <v>-199610</v>
      </c>
      <c r="E71" s="28">
        <f>ESA2010_jun26!E71-ESA2010_feb26!E71</f>
        <v>177344</v>
      </c>
      <c r="F71" s="28">
        <f>ESA2010_jun26!F71-ESA2010_feb26!F71</f>
        <v>287899</v>
      </c>
      <c r="G71" s="55">
        <f>ESA2010_jun26!G71-ESA2010_feb26!G71</f>
        <v>387782</v>
      </c>
      <c r="H71" s="26">
        <f>ESA2010_jun26!H71-ESA2010_feb26!H71</f>
        <v>397148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3.5" customHeight="1" x14ac:dyDescent="0.25">
      <c r="A72" s="83" t="s">
        <v>63</v>
      </c>
      <c r="B72" s="25">
        <f>ESA2010_jun26!B72-ESA2010_feb26!B72</f>
        <v>0</v>
      </c>
      <c r="C72" s="84">
        <f>ESA2010_jun26!C72-ESA2010_feb26!C72</f>
        <v>3953.4363999999987</v>
      </c>
      <c r="D72" s="170">
        <f>ESA2010_jun26!D72-ESA2010_feb26!D72</f>
        <v>4784</v>
      </c>
      <c r="E72" s="28">
        <f>ESA2010_jun26!E72-ESA2010_feb26!E72</f>
        <v>5319</v>
      </c>
      <c r="F72" s="28">
        <f>ESA2010_jun26!F72-ESA2010_feb26!F72</f>
        <v>5672</v>
      </c>
      <c r="G72" s="55">
        <f>ESA2010_jun26!G72-ESA2010_feb26!G72</f>
        <v>6127</v>
      </c>
      <c r="H72" s="26">
        <f>ESA2010_jun26!H72-ESA2010_feb26!H72</f>
        <v>6482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3.5" customHeight="1" x14ac:dyDescent="0.25">
      <c r="A73" s="24" t="s">
        <v>64</v>
      </c>
      <c r="B73" s="25">
        <f>ESA2010_jun26!B73-ESA2010_feb26!B73</f>
        <v>0</v>
      </c>
      <c r="C73" s="84">
        <f>ESA2010_jun26!C73-ESA2010_feb26!C73</f>
        <v>0</v>
      </c>
      <c r="D73" s="170">
        <f>ESA2010_jun26!D73-ESA2010_feb26!D73</f>
        <v>0</v>
      </c>
      <c r="E73" s="28">
        <f>ESA2010_jun26!E73-ESA2010_feb26!E73</f>
        <v>0</v>
      </c>
      <c r="F73" s="28">
        <f>ESA2010_jun26!F73-ESA2010_feb26!F73</f>
        <v>0</v>
      </c>
      <c r="G73" s="55">
        <f>ESA2010_jun26!G73-ESA2010_feb26!G73</f>
        <v>0</v>
      </c>
      <c r="H73" s="26">
        <f>ESA2010_jun26!H73-ESA2010_feb26!H73</f>
        <v>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3.5" customHeight="1" x14ac:dyDescent="0.25">
      <c r="A74" s="24" t="s">
        <v>65</v>
      </c>
      <c r="B74" s="25">
        <f>ESA2010_jun26!B74-ESA2010_feb26!B74</f>
        <v>0</v>
      </c>
      <c r="C74" s="84">
        <f>ESA2010_jun26!C74-ESA2010_feb26!C74</f>
        <v>-1219.1609000000171</v>
      </c>
      <c r="D74" s="170">
        <f>ESA2010_jun26!D74-ESA2010_feb26!D74</f>
        <v>32087</v>
      </c>
      <c r="E74" s="28">
        <f>ESA2010_jun26!E74-ESA2010_feb26!E74</f>
        <v>35752</v>
      </c>
      <c r="F74" s="28">
        <f>ESA2010_jun26!F74-ESA2010_feb26!F74</f>
        <v>62412</v>
      </c>
      <c r="G74" s="55">
        <f>ESA2010_jun26!G74-ESA2010_feb26!G74</f>
        <v>78482</v>
      </c>
      <c r="H74" s="26">
        <f>ESA2010_jun26!H74-ESA2010_feb26!H74</f>
        <v>82209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3.5" customHeight="1" x14ac:dyDescent="0.25">
      <c r="A75" s="24" t="s">
        <v>66</v>
      </c>
      <c r="B75" s="25">
        <f>ESA2010_jun26!B75-ESA2010_feb26!B75</f>
        <v>0</v>
      </c>
      <c r="C75" s="84">
        <f>ESA2010_jun26!C75-ESA2010_feb26!C75</f>
        <v>-47.300280000083148</v>
      </c>
      <c r="D75" s="170">
        <f>ESA2010_jun26!D75-ESA2010_feb26!D75</f>
        <v>16625</v>
      </c>
      <c r="E75" s="28">
        <f>ESA2010_jun26!E75-ESA2010_feb26!E75</f>
        <v>18085</v>
      </c>
      <c r="F75" s="28">
        <f>ESA2010_jun26!F75-ESA2010_feb26!F75</f>
        <v>33128</v>
      </c>
      <c r="G75" s="55">
        <f>ESA2010_jun26!G75-ESA2010_feb26!G75</f>
        <v>40261</v>
      </c>
      <c r="H75" s="26">
        <f>ESA2010_jun26!H75-ESA2010_feb26!H75</f>
        <v>41380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3.5" customHeight="1" x14ac:dyDescent="0.25">
      <c r="A76" s="24" t="s">
        <v>67</v>
      </c>
      <c r="B76" s="25">
        <f>ESA2010_jun26!B76-ESA2010_feb26!B76</f>
        <v>0</v>
      </c>
      <c r="C76" s="84">
        <f>ESA2010_jun26!C76-ESA2010_feb26!C76</f>
        <v>1242.38833</v>
      </c>
      <c r="D76" s="170">
        <f>ESA2010_jun26!D76-ESA2010_feb26!D76</f>
        <v>400</v>
      </c>
      <c r="E76" s="28">
        <f>ESA2010_jun26!E76-ESA2010_feb26!E76</f>
        <v>0</v>
      </c>
      <c r="F76" s="28">
        <f>ESA2010_jun26!F76-ESA2010_feb26!F76</f>
        <v>0</v>
      </c>
      <c r="G76" s="55">
        <f>ESA2010_jun26!G76-ESA2010_feb26!G76</f>
        <v>0</v>
      </c>
      <c r="H76" s="26">
        <f>ESA2010_jun26!H76-ESA2010_feb26!H76</f>
        <v>0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3.5" customHeight="1" x14ac:dyDescent="0.25">
      <c r="A77" s="24" t="s">
        <v>68</v>
      </c>
      <c r="B77" s="25">
        <f>ESA2010_jun26!B77-ESA2010_feb26!B77</f>
        <v>0</v>
      </c>
      <c r="C77" s="84">
        <f>ESA2010_jun26!C77-ESA2010_feb26!C77</f>
        <v>0</v>
      </c>
      <c r="D77" s="170">
        <f>ESA2010_jun26!D77-ESA2010_feb26!D77</f>
        <v>266</v>
      </c>
      <c r="E77" s="28">
        <f>ESA2010_jun26!E77-ESA2010_feb26!E77</f>
        <v>42</v>
      </c>
      <c r="F77" s="28">
        <f>ESA2010_jun26!F77-ESA2010_feb26!F77</f>
        <v>92</v>
      </c>
      <c r="G77" s="55">
        <f>ESA2010_jun26!G77-ESA2010_feb26!G77</f>
        <v>167</v>
      </c>
      <c r="H77" s="26">
        <f>ESA2010_jun26!H77-ESA2010_feb26!H77</f>
        <v>181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4.25" customHeight="1" thickBot="1" x14ac:dyDescent="0.3">
      <c r="A78" s="86" t="s">
        <v>69</v>
      </c>
      <c r="B78" s="50">
        <f t="shared" ref="B78:F78" si="21">B62</f>
        <v>0</v>
      </c>
      <c r="C78" s="87">
        <f t="shared" si="21"/>
        <v>-14035.455263101234</v>
      </c>
      <c r="D78" s="174">
        <f t="shared" si="21"/>
        <v>50331</v>
      </c>
      <c r="E78" s="187">
        <f t="shared" si="21"/>
        <v>71390</v>
      </c>
      <c r="F78" s="187">
        <f t="shared" si="21"/>
        <v>160756</v>
      </c>
      <c r="G78" s="286">
        <f t="shared" ref="G78:H78" si="22">G62</f>
        <v>248883</v>
      </c>
      <c r="H78" s="186">
        <f t="shared" si="22"/>
        <v>274056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4.25" customHeight="1" thickBot="1" x14ac:dyDescent="0.3">
      <c r="A79" s="89" t="s">
        <v>70</v>
      </c>
      <c r="B79" s="79">
        <f t="shared" ref="B79:F79" si="23">B70+B78</f>
        <v>0</v>
      </c>
      <c r="C79" s="90">
        <f t="shared" si="23"/>
        <v>-274254.53227850347</v>
      </c>
      <c r="D79" s="173">
        <f t="shared" si="23"/>
        <v>-95117</v>
      </c>
      <c r="E79" s="82">
        <f t="shared" si="23"/>
        <v>307932</v>
      </c>
      <c r="F79" s="82">
        <f t="shared" si="23"/>
        <v>549959</v>
      </c>
      <c r="G79" s="238">
        <f t="shared" ref="G79:H79" si="24">G70+G78</f>
        <v>761702</v>
      </c>
      <c r="H79" s="80">
        <f t="shared" si="24"/>
        <v>801456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s="91" customFormat="1" ht="13.5" customHeight="1" thickBot="1" x14ac:dyDescent="0.3">
      <c r="A80" s="92"/>
      <c r="B80" s="396"/>
      <c r="C80" s="396"/>
      <c r="D80" s="396"/>
      <c r="E80" s="396"/>
      <c r="F80" s="396"/>
      <c r="G80" s="396"/>
      <c r="H80" s="396"/>
      <c r="I80" s="23"/>
      <c r="J80" s="23"/>
      <c r="K80" s="23"/>
      <c r="L80" s="23"/>
      <c r="M80" s="23"/>
      <c r="N80" s="23"/>
      <c r="O80" s="23"/>
      <c r="P80" s="23"/>
      <c r="Q80" s="23"/>
    </row>
    <row r="81" spans="1:20" ht="14.25" customHeight="1" thickBot="1" x14ac:dyDescent="0.3">
      <c r="A81" s="95" t="s">
        <v>71</v>
      </c>
      <c r="B81" s="197">
        <f t="shared" ref="B81:F81" si="25">SUM(B82:B83)</f>
        <v>0</v>
      </c>
      <c r="C81" s="97">
        <f t="shared" si="25"/>
        <v>0.81586000000970671</v>
      </c>
      <c r="D81" s="98">
        <f t="shared" si="25"/>
        <v>-3317</v>
      </c>
      <c r="E81" s="99">
        <f t="shared" si="25"/>
        <v>-3770</v>
      </c>
      <c r="F81" s="99">
        <f t="shared" si="25"/>
        <v>-2330</v>
      </c>
      <c r="G81" s="97">
        <f t="shared" ref="G81:H81" si="26">SUM(G82:G83)</f>
        <v>-1460</v>
      </c>
      <c r="H81" s="97">
        <f t="shared" si="26"/>
        <v>-1119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13.5" customHeight="1" x14ac:dyDescent="0.25">
      <c r="A82" s="105" t="s">
        <v>72</v>
      </c>
      <c r="B82" s="198">
        <f>ESA2010_jun26!B82-ESA2010_feb26!B82</f>
        <v>0</v>
      </c>
      <c r="C82" s="107">
        <f>ESA2010_jun26!C82-ESA2010_feb26!C82</f>
        <v>0.43138000000180909</v>
      </c>
      <c r="D82" s="108">
        <f>ESA2010_jun26!D82-ESA2010_feb26!D82</f>
        <v>-1</v>
      </c>
      <c r="E82" s="109">
        <f>ESA2010_jun26!E82-ESA2010_feb26!E82</f>
        <v>709</v>
      </c>
      <c r="F82" s="109">
        <f>ESA2010_jun26!F82-ESA2010_feb26!F82</f>
        <v>1036</v>
      </c>
      <c r="G82" s="107">
        <f>ESA2010_jun26!G82-ESA2010_feb26!G82</f>
        <v>1701</v>
      </c>
      <c r="H82" s="107">
        <f>ESA2010_jun26!H82-ESA2010_feb26!H82</f>
        <v>1945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14.25" customHeight="1" thickBot="1" x14ac:dyDescent="0.3">
      <c r="A83" s="112" t="s">
        <v>73</v>
      </c>
      <c r="B83" s="199">
        <f>ESA2010_jun26!B83-ESA2010_feb26!B83</f>
        <v>0</v>
      </c>
      <c r="C83" s="200">
        <f>ESA2010_jun26!C83-ESA2010_feb26!C83</f>
        <v>0.38448000000789762</v>
      </c>
      <c r="D83" s="201">
        <f>ESA2010_jun26!D83-ESA2010_feb26!D83</f>
        <v>-3316</v>
      </c>
      <c r="E83" s="199">
        <f>ESA2010_jun26!E83-ESA2010_feb26!E83</f>
        <v>-4479</v>
      </c>
      <c r="F83" s="199">
        <f>ESA2010_jun26!F83-ESA2010_feb26!F83</f>
        <v>-3366</v>
      </c>
      <c r="G83" s="200">
        <f>ESA2010_jun26!G83-ESA2010_feb26!G83</f>
        <v>-3161</v>
      </c>
      <c r="H83" s="200">
        <f>ESA2010_jun26!H83-ESA2010_feb26!H83</f>
        <v>-3064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 ht="17.25" customHeight="1" thickBot="1" x14ac:dyDescent="0.35">
      <c r="A84" s="120"/>
      <c r="B84" s="202"/>
      <c r="C84" s="202"/>
      <c r="D84" s="202"/>
      <c r="E84" s="202"/>
      <c r="F84" s="202"/>
      <c r="G84" s="202"/>
      <c r="H84" s="202"/>
      <c r="I84" s="23"/>
      <c r="J84" s="23"/>
      <c r="K84" s="23"/>
      <c r="L84" s="23"/>
      <c r="M84" s="23"/>
      <c r="N84" s="23"/>
      <c r="O84" s="23"/>
      <c r="P84" s="23"/>
      <c r="Q84" s="23"/>
    </row>
    <row r="85" spans="1:20" ht="17.25" customHeight="1" thickBot="1" x14ac:dyDescent="0.3">
      <c r="A85" s="95" t="s">
        <v>94</v>
      </c>
      <c r="B85" s="96">
        <f>+B86</f>
        <v>0</v>
      </c>
      <c r="C85" s="97">
        <f t="shared" ref="C85:H85" si="27">+C86</f>
        <v>0</v>
      </c>
      <c r="D85" s="98">
        <f t="shared" si="27"/>
        <v>-1</v>
      </c>
      <c r="E85" s="99">
        <f t="shared" si="27"/>
        <v>897</v>
      </c>
      <c r="F85" s="99">
        <f t="shared" si="27"/>
        <v>1453</v>
      </c>
      <c r="G85" s="197">
        <f t="shared" si="27"/>
        <v>2185</v>
      </c>
      <c r="H85" s="321">
        <f t="shared" si="27"/>
        <v>2420</v>
      </c>
      <c r="I85" s="23"/>
      <c r="J85" s="23"/>
      <c r="K85" s="23"/>
      <c r="L85" s="23"/>
      <c r="M85" s="23"/>
      <c r="N85" s="23"/>
      <c r="O85" s="23"/>
      <c r="P85" s="23"/>
      <c r="Q85" s="23"/>
    </row>
    <row r="86" spans="1:20" ht="17.25" customHeight="1" thickBot="1" x14ac:dyDescent="0.3">
      <c r="A86" s="112" t="s">
        <v>72</v>
      </c>
      <c r="B86" s="106">
        <f>ESA2010_jun26!B86-ESA2010_feb26!B86</f>
        <v>0</v>
      </c>
      <c r="C86" s="107">
        <f>ESA2010_jun26!C86-ESA2010_feb26!C86</f>
        <v>0</v>
      </c>
      <c r="D86" s="108">
        <f>ESA2010_jun26!D86-ESA2010_feb26!D86</f>
        <v>-1</v>
      </c>
      <c r="E86" s="109">
        <f>ESA2010_jun26!E86-ESA2010_feb26!E86+ESA2010_jun26!E90</f>
        <v>897</v>
      </c>
      <c r="F86" s="109">
        <f>ESA2010_jun26!F86-ESA2010_feb26!F86+ESA2010_jun26!F90</f>
        <v>1453</v>
      </c>
      <c r="G86" s="324">
        <f>ESA2010_jun26!G86-ESA2010_feb26!G86+ESA2010_jun26!G90</f>
        <v>2185</v>
      </c>
      <c r="H86" s="322">
        <f>ESA2010_jun26!H86-ESA2010_feb26!H86+ESA2010_jun26!H90</f>
        <v>2420</v>
      </c>
      <c r="I86" s="23"/>
      <c r="J86" s="23"/>
      <c r="K86" s="23"/>
      <c r="L86" s="23"/>
      <c r="M86" s="23"/>
      <c r="N86" s="23"/>
      <c r="O86" s="23"/>
      <c r="P86" s="23"/>
      <c r="Q86" s="23"/>
    </row>
    <row r="87" spans="1:20" ht="17.25" customHeight="1" thickBot="1" x14ac:dyDescent="0.35">
      <c r="A87" s="120"/>
      <c r="B87" s="202"/>
      <c r="C87" s="202"/>
      <c r="D87" s="202"/>
      <c r="E87" s="202"/>
      <c r="F87" s="202"/>
      <c r="G87" s="202"/>
      <c r="H87" s="202"/>
      <c r="I87" s="23"/>
      <c r="J87" s="23"/>
      <c r="K87" s="23"/>
      <c r="L87" s="23"/>
      <c r="M87" s="23"/>
      <c r="N87" s="23"/>
      <c r="O87" s="23"/>
      <c r="P87" s="23"/>
      <c r="Q87" s="23"/>
    </row>
    <row r="88" spans="1:20" s="125" customFormat="1" ht="14.25" customHeight="1" thickBot="1" x14ac:dyDescent="0.3">
      <c r="A88" s="100" t="s">
        <v>74</v>
      </c>
      <c r="B88" s="131">
        <f>ESA2010_jun26!B89-ESA2010_feb26!B88</f>
        <v>0</v>
      </c>
      <c r="C88" s="127">
        <f>ESA2010_jun26!C89-ESA2010_feb26!C88</f>
        <v>27616.271303015761</v>
      </c>
      <c r="D88" s="128">
        <f>ESA2010_jun26!D89-ESA2010_feb26!D88</f>
        <v>14642</v>
      </c>
      <c r="E88" s="131">
        <f>ESA2010_jun26!E89-ESA2010_feb26!E88</f>
        <v>27414</v>
      </c>
      <c r="F88" s="130">
        <f>ESA2010_jun26!F89-ESA2010_feb26!F88</f>
        <v>14022</v>
      </c>
      <c r="G88" s="127">
        <f>ESA2010_jun26!G89-ESA2010_feb26!G88</f>
        <v>2488</v>
      </c>
      <c r="H88" s="127">
        <f>ESA2010_jun26!H89-ESA2010_feb26!H88</f>
        <v>-5367</v>
      </c>
      <c r="I88" s="23"/>
      <c r="J88" s="23"/>
      <c r="K88" s="23"/>
      <c r="L88" s="23"/>
      <c r="M88" s="23"/>
      <c r="N88" s="23"/>
      <c r="O88" s="23"/>
      <c r="P88" s="23"/>
      <c r="Q88" s="23"/>
    </row>
    <row r="89" spans="1:20" ht="16.5" customHeight="1" thickBot="1" x14ac:dyDescent="0.35">
      <c r="A89" s="120"/>
      <c r="B89" s="225"/>
      <c r="C89" s="225"/>
      <c r="D89" s="225"/>
      <c r="E89" s="225"/>
      <c r="F89" s="225"/>
      <c r="G89" s="225"/>
      <c r="H89" s="225"/>
      <c r="I89" s="23"/>
      <c r="J89" s="23"/>
      <c r="K89" s="23"/>
      <c r="L89" s="23"/>
      <c r="M89" s="23"/>
      <c r="N89" s="23"/>
      <c r="O89" s="23"/>
      <c r="P89" s="23"/>
      <c r="Q89" s="23"/>
    </row>
    <row r="90" spans="1:20" ht="14.25" customHeight="1" thickBot="1" x14ac:dyDescent="0.3">
      <c r="A90" s="134" t="s">
        <v>75</v>
      </c>
      <c r="B90" s="203">
        <f t="shared" ref="B90:F90" si="28">SUM(B91,B94,B97)</f>
        <v>0</v>
      </c>
      <c r="C90" s="204">
        <f t="shared" si="28"/>
        <v>-5.3699550586313789</v>
      </c>
      <c r="D90" s="203">
        <f t="shared" si="28"/>
        <v>-4.0220000000000002</v>
      </c>
      <c r="E90" s="205">
        <f t="shared" si="28"/>
        <v>-4.0220000000000002</v>
      </c>
      <c r="F90" s="230">
        <f t="shared" si="28"/>
        <v>-4.0220000000000002</v>
      </c>
      <c r="G90" s="204">
        <f t="shared" ref="G90:H90" si="29">SUM(G91,G94,G97)</f>
        <v>-4.0220000000000002</v>
      </c>
      <c r="H90" s="204">
        <f t="shared" si="29"/>
        <v>-4.0220000000000002</v>
      </c>
      <c r="I90" s="23"/>
      <c r="J90" s="23"/>
      <c r="K90" s="23"/>
      <c r="L90" s="23"/>
      <c r="M90" s="23"/>
      <c r="N90" s="23"/>
      <c r="O90" s="23"/>
      <c r="P90" s="23"/>
      <c r="Q90" s="23"/>
    </row>
    <row r="91" spans="1:20" ht="13.5" customHeight="1" x14ac:dyDescent="0.25">
      <c r="A91" s="53" t="s">
        <v>76</v>
      </c>
      <c r="B91" s="206">
        <f t="shared" ref="B91:F91" si="30">SUM(B92:B93)</f>
        <v>0</v>
      </c>
      <c r="C91" s="207">
        <f t="shared" si="30"/>
        <v>-4.8266400000000003</v>
      </c>
      <c r="D91" s="208">
        <f t="shared" si="30"/>
        <v>-4.0220000000000002</v>
      </c>
      <c r="E91" s="209">
        <f t="shared" si="30"/>
        <v>-4.0220000000000002</v>
      </c>
      <c r="F91" s="231">
        <f t="shared" si="30"/>
        <v>-4.0220000000000002</v>
      </c>
      <c r="G91" s="207">
        <f t="shared" ref="G91:H91" si="31">SUM(G92:G93)</f>
        <v>-4.0220000000000002</v>
      </c>
      <c r="H91" s="207">
        <f t="shared" si="31"/>
        <v>-4.0220000000000002</v>
      </c>
      <c r="I91" s="23"/>
      <c r="J91" s="23"/>
      <c r="K91" s="23"/>
      <c r="L91" s="23"/>
      <c r="M91" s="23"/>
      <c r="N91" s="23"/>
      <c r="O91" s="23"/>
      <c r="P91" s="23"/>
      <c r="Q91" s="23"/>
    </row>
    <row r="92" spans="1:20" ht="13.5" customHeight="1" x14ac:dyDescent="0.25">
      <c r="A92" s="210" t="s">
        <v>8</v>
      </c>
      <c r="B92" s="211">
        <f>ESA2010_jun26!B93-ESA2010_feb26!B92</f>
        <v>0</v>
      </c>
      <c r="C92" s="142">
        <f>ESA2010_jun26!C93-ESA2010_feb26!C92</f>
        <v>-0.80464000000000002</v>
      </c>
      <c r="D92" s="212">
        <f>ESA2010_jun26!D93-ESA2010_feb26!D92</f>
        <v>0</v>
      </c>
      <c r="E92" s="144">
        <f>ESA2010_jun26!E93-ESA2010_feb26!E92</f>
        <v>0</v>
      </c>
      <c r="F92" s="145">
        <f>ESA2010_jun26!F93-ESA2010_feb26!F92</f>
        <v>0</v>
      </c>
      <c r="G92" s="142">
        <f>ESA2010_jun26!G93-ESA2010_feb26!G92</f>
        <v>0</v>
      </c>
      <c r="H92" s="142">
        <f>ESA2010_jun26!H93-ESA2010_feb26!H92</f>
        <v>0</v>
      </c>
      <c r="I92" s="23"/>
      <c r="J92" s="23"/>
      <c r="K92" s="23"/>
      <c r="L92" s="23"/>
      <c r="M92" s="23"/>
      <c r="N92" s="23"/>
      <c r="O92" s="23"/>
      <c r="P92" s="23"/>
      <c r="Q92" s="23"/>
    </row>
    <row r="93" spans="1:20" ht="13.5" customHeight="1" x14ac:dyDescent="0.25">
      <c r="A93" s="210" t="s">
        <v>9</v>
      </c>
      <c r="B93" s="211">
        <f>ESA2010_jun26!B94-ESA2010_feb26!B93</f>
        <v>0</v>
      </c>
      <c r="C93" s="142">
        <f>ESA2010_jun26!C94-ESA2010_feb26!C93</f>
        <v>-4.0220000000000002</v>
      </c>
      <c r="D93" s="212">
        <f>ESA2010_jun26!D94-ESA2010_feb26!D93</f>
        <v>-4.0220000000000002</v>
      </c>
      <c r="E93" s="144">
        <f>ESA2010_jun26!E94-ESA2010_feb26!E93</f>
        <v>-4.0220000000000002</v>
      </c>
      <c r="F93" s="145">
        <f>ESA2010_jun26!F94-ESA2010_feb26!F93</f>
        <v>-4.0220000000000002</v>
      </c>
      <c r="G93" s="142">
        <f>ESA2010_jun26!G94-ESA2010_feb26!G93</f>
        <v>-4.0220000000000002</v>
      </c>
      <c r="H93" s="142">
        <f>ESA2010_jun26!H94-ESA2010_feb26!H93</f>
        <v>-4.0220000000000002</v>
      </c>
      <c r="I93" s="23"/>
      <c r="J93" s="23"/>
      <c r="K93" s="23"/>
      <c r="L93" s="23"/>
      <c r="M93" s="23"/>
      <c r="N93" s="23"/>
      <c r="O93" s="23"/>
      <c r="P93" s="23"/>
      <c r="Q93" s="23"/>
    </row>
    <row r="94" spans="1:20" ht="13.5" customHeight="1" x14ac:dyDescent="0.25">
      <c r="A94" s="53" t="s">
        <v>77</v>
      </c>
      <c r="B94" s="211">
        <f t="shared" ref="B94:E94" si="32">SUM(B95:B96)</f>
        <v>0</v>
      </c>
      <c r="C94" s="213">
        <f t="shared" si="32"/>
        <v>-9.9846698256442323E-2</v>
      </c>
      <c r="D94" s="214">
        <f t="shared" si="32"/>
        <v>0</v>
      </c>
      <c r="E94" s="215">
        <f t="shared" si="32"/>
        <v>0</v>
      </c>
      <c r="F94" s="232">
        <f t="shared" ref="F94:G94" si="33">SUM(F95:F96)</f>
        <v>0</v>
      </c>
      <c r="G94" s="213">
        <f t="shared" si="33"/>
        <v>0</v>
      </c>
      <c r="H94" s="213">
        <f t="shared" ref="H94" si="34">SUM(H95:H96)</f>
        <v>0</v>
      </c>
      <c r="I94" s="23"/>
      <c r="J94" s="23"/>
      <c r="K94" s="23"/>
      <c r="L94" s="23"/>
      <c r="M94" s="23"/>
      <c r="N94" s="23"/>
      <c r="O94" s="23"/>
      <c r="P94" s="23"/>
      <c r="Q94" s="23"/>
    </row>
    <row r="95" spans="1:20" ht="13.5" customHeight="1" x14ac:dyDescent="0.25">
      <c r="A95" s="210" t="s">
        <v>8</v>
      </c>
      <c r="B95" s="211">
        <f>ESA2010_jun26!B96-ESA2010_feb26!B95</f>
        <v>0</v>
      </c>
      <c r="C95" s="142">
        <f>ESA2010_jun26!C96-ESA2010_feb26!C95</f>
        <v>0.13573503273073584</v>
      </c>
      <c r="D95" s="212">
        <f>ESA2010_jun26!D96-ESA2010_feb26!D95</f>
        <v>0</v>
      </c>
      <c r="E95" s="144">
        <f>ESA2010_jun26!E96-ESA2010_feb26!E95</f>
        <v>0</v>
      </c>
      <c r="F95" s="145">
        <f>ESA2010_jun26!F96-ESA2010_feb26!F95</f>
        <v>0</v>
      </c>
      <c r="G95" s="142">
        <f>ESA2010_jun26!G96-ESA2010_feb26!G95</f>
        <v>0</v>
      </c>
      <c r="H95" s="142">
        <f>ESA2010_jun26!H96-ESA2010_feb26!H95</f>
        <v>0</v>
      </c>
      <c r="I95" s="23"/>
      <c r="J95" s="23"/>
      <c r="K95" s="23"/>
      <c r="L95" s="23"/>
      <c r="M95" s="23"/>
      <c r="N95" s="23"/>
      <c r="O95" s="23"/>
      <c r="P95" s="23"/>
      <c r="Q95" s="23"/>
    </row>
    <row r="96" spans="1:20" ht="14.25" customHeight="1" x14ac:dyDescent="0.25">
      <c r="A96" s="210" t="s">
        <v>9</v>
      </c>
      <c r="B96" s="211">
        <f>ESA2010_jun26!B97-ESA2010_feb26!B96</f>
        <v>0</v>
      </c>
      <c r="C96" s="142">
        <f>ESA2010_jun26!C97-ESA2010_feb26!C96</f>
        <v>-0.23558173098717816</v>
      </c>
      <c r="D96" s="212">
        <f>ESA2010_jun26!D97-ESA2010_feb26!D96</f>
        <v>0</v>
      </c>
      <c r="E96" s="144">
        <f>ESA2010_jun26!E97-ESA2010_feb26!E96</f>
        <v>0</v>
      </c>
      <c r="F96" s="145">
        <f>ESA2010_jun26!F97-ESA2010_feb26!F96</f>
        <v>0</v>
      </c>
      <c r="G96" s="142">
        <f>ESA2010_jun26!G97-ESA2010_feb26!G96</f>
        <v>0</v>
      </c>
      <c r="H96" s="142">
        <f>ESA2010_jun26!H97-ESA2010_feb26!H96</f>
        <v>0</v>
      </c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14.25" customHeight="1" x14ac:dyDescent="0.25">
      <c r="A97" s="190" t="s">
        <v>78</v>
      </c>
      <c r="B97" s="153">
        <f t="shared" ref="B97:E97" si="35">SUM(B98:B99)</f>
        <v>0</v>
      </c>
      <c r="C97" s="154">
        <f t="shared" si="35"/>
        <v>-0.44346836037493631</v>
      </c>
      <c r="D97" s="155">
        <f t="shared" si="35"/>
        <v>0</v>
      </c>
      <c r="E97" s="156">
        <f t="shared" si="35"/>
        <v>0</v>
      </c>
      <c r="F97" s="156">
        <f t="shared" ref="F97:G97" si="36">SUM(F98:F99)</f>
        <v>0</v>
      </c>
      <c r="G97" s="157">
        <f t="shared" si="36"/>
        <v>0</v>
      </c>
      <c r="H97" s="157">
        <f t="shared" ref="H97" si="37">SUM(H98:H99)</f>
        <v>0</v>
      </c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4.25" customHeight="1" x14ac:dyDescent="0.25">
      <c r="A98" s="210" t="s">
        <v>8</v>
      </c>
      <c r="B98" s="147">
        <f>ESA2010_jun26!B99-ESA2010_feb26!B98</f>
        <v>0</v>
      </c>
      <c r="C98" s="148">
        <f>ESA2010_jun26!C99-ESA2010_feb26!C98</f>
        <v>-4.795376749461866E-2</v>
      </c>
      <c r="D98" s="149">
        <f>ESA2010_jun26!D99-ESA2010_feb26!D98</f>
        <v>0</v>
      </c>
      <c r="E98" s="149">
        <f>ESA2010_jun26!E99-ESA2010_feb26!E98</f>
        <v>0</v>
      </c>
      <c r="F98" s="219">
        <f>ESA2010_jun26!F99-ESA2010_feb26!F98</f>
        <v>0</v>
      </c>
      <c r="G98" s="148">
        <f>ESA2010_jun26!G99-ESA2010_feb26!G98</f>
        <v>0</v>
      </c>
      <c r="H98" s="148">
        <f>ESA2010_jun26!H99-ESA2010_feb26!H98</f>
        <v>0</v>
      </c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14.25" customHeight="1" thickBot="1" x14ac:dyDescent="0.3">
      <c r="A99" s="159" t="s">
        <v>9</v>
      </c>
      <c r="B99" s="160">
        <f>ESA2010_jun26!B100-ESA2010_feb26!B99</f>
        <v>0</v>
      </c>
      <c r="C99" s="161">
        <f>ESA2010_jun26!C100-ESA2010_feb26!C99</f>
        <v>-0.39551459288031765</v>
      </c>
      <c r="D99" s="160">
        <f>ESA2010_jun26!D100-ESA2010_feb26!D99</f>
        <v>0</v>
      </c>
      <c r="E99" s="160">
        <f>ESA2010_jun26!E100-ESA2010_feb26!E99</f>
        <v>0</v>
      </c>
      <c r="F99" s="220">
        <f>ESA2010_jun26!F100-ESA2010_feb26!F99</f>
        <v>0</v>
      </c>
      <c r="G99" s="161">
        <f>ESA2010_jun26!G100-ESA2010_feb26!G99</f>
        <v>0</v>
      </c>
      <c r="H99" s="161">
        <f>ESA2010_jun26!H100-ESA2010_feb26!H99</f>
        <v>0</v>
      </c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14.25" customHeight="1" x14ac:dyDescent="0.25">
      <c r="A100" s="216"/>
      <c r="B100" s="217"/>
      <c r="C100" s="217"/>
      <c r="D100" s="217"/>
      <c r="E100" s="217"/>
      <c r="F100" s="217"/>
      <c r="G100" s="217"/>
      <c r="H100" s="217"/>
      <c r="I100" s="23"/>
      <c r="J100" s="23"/>
      <c r="K100" s="23"/>
      <c r="L100" s="23"/>
      <c r="M100" s="23"/>
      <c r="N100" s="23"/>
      <c r="O100" s="23"/>
    </row>
    <row r="101" spans="1:17" x14ac:dyDescent="0.25">
      <c r="B101" s="224"/>
      <c r="C101" s="224"/>
      <c r="D101" s="224"/>
      <c r="E101" s="224"/>
      <c r="F101" s="224"/>
      <c r="G101" s="224"/>
      <c r="H101" s="224"/>
      <c r="I101" s="23"/>
      <c r="J101" s="23"/>
      <c r="K101" s="23"/>
      <c r="L101" s="23"/>
      <c r="M101" s="23"/>
      <c r="N101" s="23"/>
      <c r="O101" s="23"/>
    </row>
    <row r="102" spans="1:17" ht="13" x14ac:dyDescent="0.3">
      <c r="A102" s="218"/>
      <c r="B102" s="132"/>
      <c r="C102" s="132"/>
      <c r="D102" s="132"/>
      <c r="E102" s="132"/>
      <c r="F102" s="132"/>
      <c r="G102" s="132"/>
      <c r="H102" s="132"/>
      <c r="I102" s="22"/>
      <c r="J102" s="22"/>
      <c r="K102" s="22"/>
      <c r="L102" s="22"/>
      <c r="M102" s="22"/>
    </row>
    <row r="103" spans="1:17" x14ac:dyDescent="0.25">
      <c r="B103" s="132"/>
      <c r="C103" s="132"/>
      <c r="D103" s="132"/>
      <c r="E103" s="132"/>
      <c r="F103" s="132"/>
      <c r="G103" s="132"/>
      <c r="H103" s="132"/>
    </row>
    <row r="104" spans="1:17" x14ac:dyDescent="0.25">
      <c r="B104" s="132"/>
      <c r="C104" s="132"/>
      <c r="D104" s="132"/>
      <c r="E104" s="132"/>
      <c r="F104" s="132"/>
      <c r="G104" s="132"/>
      <c r="H104" s="132"/>
    </row>
    <row r="105" spans="1:17" x14ac:dyDescent="0.25">
      <c r="B105" s="132"/>
      <c r="C105" s="132"/>
      <c r="D105" s="132"/>
      <c r="E105" s="132"/>
      <c r="F105" s="132"/>
      <c r="G105" s="132"/>
      <c r="H105" s="132"/>
    </row>
    <row r="106" spans="1:17" x14ac:dyDescent="0.25">
      <c r="B106" s="132"/>
      <c r="C106" s="132"/>
      <c r="D106" s="132"/>
      <c r="E106" s="132"/>
      <c r="F106" s="132"/>
      <c r="G106" s="132"/>
      <c r="H106" s="132"/>
    </row>
    <row r="107" spans="1:17" x14ac:dyDescent="0.25">
      <c r="B107" s="132"/>
      <c r="C107" s="132"/>
      <c r="D107" s="132"/>
      <c r="E107" s="132"/>
      <c r="F107" s="132"/>
      <c r="G107" s="132"/>
      <c r="H107" s="132"/>
    </row>
    <row r="108" spans="1:17" x14ac:dyDescent="0.25">
      <c r="B108" s="132"/>
      <c r="C108" s="132"/>
      <c r="D108" s="132"/>
      <c r="E108" s="132"/>
      <c r="F108" s="132"/>
      <c r="G108" s="132"/>
      <c r="H108" s="132"/>
    </row>
    <row r="109" spans="1:17" x14ac:dyDescent="0.25">
      <c r="B109" s="132"/>
      <c r="C109" s="132"/>
      <c r="D109" s="132"/>
      <c r="E109" s="132"/>
      <c r="F109" s="132"/>
      <c r="G109" s="132"/>
      <c r="H109" s="132"/>
    </row>
    <row r="110" spans="1:17" x14ac:dyDescent="0.25">
      <c r="B110" s="132"/>
      <c r="C110" s="132"/>
      <c r="D110" s="132"/>
      <c r="E110" s="132"/>
      <c r="F110" s="132"/>
      <c r="G110" s="132"/>
      <c r="H110" s="132"/>
    </row>
    <row r="111" spans="1:17" x14ac:dyDescent="0.25">
      <c r="B111" s="132"/>
      <c r="C111" s="132"/>
      <c r="D111" s="132"/>
      <c r="E111" s="132"/>
      <c r="F111" s="132"/>
      <c r="G111" s="132"/>
      <c r="H111" s="132"/>
    </row>
    <row r="112" spans="1:17" x14ac:dyDescent="0.25">
      <c r="B112" s="132"/>
      <c r="C112" s="132"/>
      <c r="D112" s="132"/>
      <c r="E112" s="132"/>
      <c r="F112" s="132"/>
      <c r="G112" s="132"/>
      <c r="H112" s="132"/>
    </row>
    <row r="113" spans="2:8" x14ac:dyDescent="0.25">
      <c r="B113" s="132"/>
      <c r="C113" s="132"/>
      <c r="D113" s="132"/>
      <c r="E113" s="132"/>
      <c r="F113" s="132"/>
      <c r="G113" s="132"/>
      <c r="H113" s="132"/>
    </row>
    <row r="114" spans="2:8" x14ac:dyDescent="0.25">
      <c r="B114" s="132"/>
      <c r="C114" s="132"/>
      <c r="D114" s="132"/>
      <c r="E114" s="132"/>
      <c r="F114" s="132"/>
      <c r="G114" s="132"/>
      <c r="H114" s="132"/>
    </row>
    <row r="115" spans="2:8" x14ac:dyDescent="0.25">
      <c r="B115" s="132"/>
      <c r="C115" s="132"/>
      <c r="D115" s="132"/>
      <c r="E115" s="132"/>
      <c r="F115" s="132"/>
      <c r="G115" s="132"/>
      <c r="H115" s="132"/>
    </row>
    <row r="116" spans="2:8" x14ac:dyDescent="0.25">
      <c r="B116" s="132"/>
      <c r="C116" s="132"/>
      <c r="D116" s="132"/>
      <c r="E116" s="132"/>
      <c r="F116" s="132"/>
      <c r="G116" s="132"/>
      <c r="H116" s="132"/>
    </row>
    <row r="117" spans="2:8" x14ac:dyDescent="0.25">
      <c r="B117" s="132"/>
      <c r="C117" s="132"/>
      <c r="D117" s="132"/>
      <c r="E117" s="132"/>
      <c r="F117" s="132"/>
      <c r="G117" s="132"/>
      <c r="H117" s="132"/>
    </row>
    <row r="118" spans="2:8" x14ac:dyDescent="0.25">
      <c r="B118" s="132"/>
      <c r="C118" s="132"/>
      <c r="D118" s="132"/>
      <c r="E118" s="132"/>
      <c r="F118" s="132"/>
      <c r="G118" s="132"/>
      <c r="H118" s="132"/>
    </row>
    <row r="119" spans="2:8" x14ac:dyDescent="0.25">
      <c r="B119" s="132"/>
      <c r="C119" s="132"/>
      <c r="D119" s="132"/>
      <c r="E119" s="132"/>
      <c r="F119" s="132"/>
      <c r="G119" s="132"/>
      <c r="H119" s="132"/>
    </row>
    <row r="120" spans="2:8" x14ac:dyDescent="0.25">
      <c r="B120" s="132"/>
    </row>
    <row r="121" spans="2:8" x14ac:dyDescent="0.25">
      <c r="B121" s="132"/>
    </row>
    <row r="122" spans="2:8" x14ac:dyDescent="0.25">
      <c r="B122" s="13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0"/>
  <sheetViews>
    <sheetView showGridLines="0" zoomScaleNormal="100" workbookViewId="0">
      <selection activeCell="N4" sqref="N4:N5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81640625" style="1" bestFit="1" customWidth="1"/>
    <col min="11" max="16384" width="9.1796875" style="1"/>
  </cols>
  <sheetData>
    <row r="1" spans="1:17" ht="15.75" customHeight="1" x14ac:dyDescent="0.25">
      <c r="A1" s="4" t="s">
        <v>104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337" t="s">
        <v>3</v>
      </c>
      <c r="D3" s="422" t="s">
        <v>4</v>
      </c>
      <c r="E3" s="423"/>
      <c r="F3" s="423"/>
      <c r="G3" s="423"/>
      <c r="H3" s="424"/>
      <c r="J3" s="22"/>
      <c r="K3" s="22"/>
      <c r="L3" s="22"/>
      <c r="M3" s="22"/>
      <c r="N3" s="22"/>
      <c r="O3" s="22"/>
      <c r="P3" s="22"/>
    </row>
    <row r="4" spans="1:17" ht="14.25" customHeight="1" thickBot="1" x14ac:dyDescent="0.3">
      <c r="A4" s="12"/>
      <c r="B4" s="13">
        <v>2024</v>
      </c>
      <c r="C4" s="15">
        <v>2025</v>
      </c>
      <c r="D4" s="342">
        <v>2026</v>
      </c>
      <c r="E4" s="313">
        <v>2027</v>
      </c>
      <c r="F4" s="313">
        <v>2028</v>
      </c>
      <c r="G4" s="329">
        <v>2029</v>
      </c>
      <c r="H4" s="341">
        <v>2030</v>
      </c>
      <c r="J4" s="22"/>
      <c r="K4" s="22"/>
      <c r="L4" s="22"/>
      <c r="M4" s="22"/>
      <c r="N4" s="22"/>
      <c r="O4" s="22"/>
      <c r="P4" s="22"/>
    </row>
    <row r="5" spans="1:17" ht="13.5" customHeight="1" x14ac:dyDescent="0.25">
      <c r="A5" s="16" t="s">
        <v>5</v>
      </c>
      <c r="B5" s="348">
        <f>B6+B12+B17+B16</f>
        <v>9946951.8581433333</v>
      </c>
      <c r="C5" s="349">
        <f t="shared" ref="C5:H5" si="0">C6+C12+C17+C16</f>
        <v>10565927.02507</v>
      </c>
      <c r="D5" s="350">
        <f t="shared" si="0"/>
        <v>11138780</v>
      </c>
      <c r="E5" s="351">
        <f t="shared" si="0"/>
        <v>11478806</v>
      </c>
      <c r="F5" s="351">
        <f t="shared" si="0"/>
        <v>12023996</v>
      </c>
      <c r="G5" s="352">
        <f t="shared" si="0"/>
        <v>12518135</v>
      </c>
      <c r="H5" s="353">
        <f t="shared" si="0"/>
        <v>13062300</v>
      </c>
      <c r="I5" s="22"/>
      <c r="J5" s="22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73">
        <f t="shared" ref="B6:H6" si="1">B7+B8</f>
        <v>4856604.7480433332</v>
      </c>
      <c r="C6" s="48">
        <f t="shared" si="1"/>
        <v>5170973</v>
      </c>
      <c r="D6" s="74">
        <f t="shared" si="1"/>
        <v>5514241</v>
      </c>
      <c r="E6" s="47">
        <f t="shared" si="1"/>
        <v>5708276</v>
      </c>
      <c r="F6" s="47">
        <f t="shared" si="1"/>
        <v>5951383</v>
      </c>
      <c r="G6" s="318">
        <f t="shared" si="1"/>
        <v>6213313</v>
      </c>
      <c r="H6" s="316">
        <f t="shared" si="1"/>
        <v>6519367</v>
      </c>
      <c r="I6" s="22"/>
      <c r="J6" s="22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147">
        <v>4656277.1821833327</v>
      </c>
      <c r="C7" s="346">
        <v>4981800</v>
      </c>
      <c r="D7" s="149">
        <v>5294240</v>
      </c>
      <c r="E7" s="150">
        <v>5492645</v>
      </c>
      <c r="F7" s="347">
        <v>5731929</v>
      </c>
      <c r="G7" s="150">
        <v>5992368</v>
      </c>
      <c r="H7" s="151">
        <v>6294618</v>
      </c>
      <c r="I7" s="22"/>
      <c r="J7" s="22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147">
        <v>200327.56586000003</v>
      </c>
      <c r="C8" s="346">
        <v>189173</v>
      </c>
      <c r="D8" s="149">
        <v>220001</v>
      </c>
      <c r="E8" s="150">
        <v>215631</v>
      </c>
      <c r="F8" s="347">
        <v>219454</v>
      </c>
      <c r="G8" s="150">
        <v>220945</v>
      </c>
      <c r="H8" s="151">
        <v>224749</v>
      </c>
      <c r="I8" s="22"/>
      <c r="J8" s="22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147">
        <f>B6-B10-B11</f>
        <v>1409375.9323533326</v>
      </c>
      <c r="C9" s="346">
        <f t="shared" ref="C9:F9" si="2">C6-C10-C11</f>
        <v>1736843</v>
      </c>
      <c r="D9" s="149">
        <f t="shared" si="2"/>
        <v>1797583</v>
      </c>
      <c r="E9" s="150">
        <f t="shared" si="2"/>
        <v>1792173</v>
      </c>
      <c r="F9" s="347">
        <f t="shared" si="2"/>
        <v>1882041</v>
      </c>
      <c r="G9" s="150">
        <f>G6-G10-G11</f>
        <v>1926298</v>
      </c>
      <c r="H9" s="151">
        <f>H6-H10-H11</f>
        <v>1995069</v>
      </c>
      <c r="I9" s="22"/>
      <c r="J9" s="22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147">
        <v>2413060.1910800003</v>
      </c>
      <c r="C10" s="346">
        <v>2237709</v>
      </c>
      <c r="D10" s="149">
        <v>2414119</v>
      </c>
      <c r="E10" s="150">
        <v>2522075</v>
      </c>
      <c r="F10" s="347">
        <v>2620597</v>
      </c>
      <c r="G10" s="150">
        <v>2760775</v>
      </c>
      <c r="H10" s="151">
        <v>2913582</v>
      </c>
      <c r="I10" s="22"/>
      <c r="J10" s="22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147">
        <v>1034168.6246100002</v>
      </c>
      <c r="C11" s="346">
        <v>1196421</v>
      </c>
      <c r="D11" s="149">
        <v>1302539</v>
      </c>
      <c r="E11" s="150">
        <v>1394028</v>
      </c>
      <c r="F11" s="347">
        <v>1448745</v>
      </c>
      <c r="G11" s="150">
        <v>1526240</v>
      </c>
      <c r="H11" s="151">
        <v>1610716</v>
      </c>
      <c r="I11" s="22"/>
      <c r="J11" s="22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153">
        <v>4512696.6199400006</v>
      </c>
      <c r="C12" s="346">
        <v>4796803</v>
      </c>
      <c r="D12" s="149">
        <v>5059881</v>
      </c>
      <c r="E12" s="150">
        <v>5155680</v>
      </c>
      <c r="F12" s="347">
        <v>5452190</v>
      </c>
      <c r="G12" s="150">
        <v>5673814</v>
      </c>
      <c r="H12" s="151">
        <v>5922543</v>
      </c>
      <c r="I12" s="22"/>
      <c r="J12" s="22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29" t="s">
        <v>10</v>
      </c>
      <c r="B13" s="153">
        <f>B12-B14-B15</f>
        <v>4174773.6199400006</v>
      </c>
      <c r="C13" s="346">
        <f>C12-C14-C15</f>
        <v>4796803</v>
      </c>
      <c r="D13" s="354">
        <f t="shared" ref="D13:H13" si="3">D12-D14-D15</f>
        <v>5059881</v>
      </c>
      <c r="E13" s="355">
        <f t="shared" si="3"/>
        <v>5155680</v>
      </c>
      <c r="F13" s="347">
        <f t="shared" si="3"/>
        <v>5452190</v>
      </c>
      <c r="G13" s="150">
        <f t="shared" si="3"/>
        <v>5673814</v>
      </c>
      <c r="H13" s="151">
        <f t="shared" si="3"/>
        <v>5922543</v>
      </c>
      <c r="I13" s="22"/>
      <c r="J13" s="22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29" t="s">
        <v>11</v>
      </c>
      <c r="B14" s="153">
        <v>236546</v>
      </c>
      <c r="C14" s="346">
        <v>0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2"/>
      <c r="J14" s="22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29" t="s">
        <v>12</v>
      </c>
      <c r="B15" s="153">
        <v>101377</v>
      </c>
      <c r="C15" s="346">
        <v>0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2"/>
      <c r="J15" s="22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95</v>
      </c>
      <c r="B16" s="401">
        <v>48500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>
        <v>48500</v>
      </c>
      <c r="I16" s="22"/>
      <c r="J16" s="22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15</v>
      </c>
      <c r="B17" s="77">
        <v>529150.49016000004</v>
      </c>
      <c r="C17" s="48">
        <v>549651.02507000009</v>
      </c>
      <c r="D17" s="356">
        <v>516158</v>
      </c>
      <c r="E17" s="357">
        <v>566350</v>
      </c>
      <c r="F17" s="47">
        <v>571923</v>
      </c>
      <c r="G17" s="318">
        <v>582508</v>
      </c>
      <c r="H17" s="316">
        <v>571890</v>
      </c>
      <c r="I17" s="22"/>
      <c r="J17" s="22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41" t="s">
        <v>16</v>
      </c>
      <c r="B18" s="358">
        <f t="shared" ref="B18:H18" si="4">B19+B20</f>
        <v>12614980.136799997</v>
      </c>
      <c r="C18" s="359">
        <f t="shared" si="4"/>
        <v>13460367</v>
      </c>
      <c r="D18" s="360">
        <f t="shared" si="4"/>
        <v>14115448</v>
      </c>
      <c r="E18" s="361">
        <f t="shared" si="4"/>
        <v>14094259</v>
      </c>
      <c r="F18" s="361">
        <f t="shared" si="4"/>
        <v>14589609</v>
      </c>
      <c r="G18" s="362">
        <f t="shared" si="4"/>
        <v>15140586</v>
      </c>
      <c r="H18" s="363">
        <f t="shared" si="4"/>
        <v>15758656</v>
      </c>
      <c r="I18" s="22"/>
      <c r="J18" s="22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4" t="s">
        <v>17</v>
      </c>
      <c r="B19" s="77">
        <v>9914695.8221099973</v>
      </c>
      <c r="C19" s="48">
        <v>10700896</v>
      </c>
      <c r="D19" s="356">
        <v>11272422</v>
      </c>
      <c r="E19" s="357">
        <v>11194190</v>
      </c>
      <c r="F19" s="47">
        <v>11590313</v>
      </c>
      <c r="G19" s="318">
        <v>12077733</v>
      </c>
      <c r="H19" s="316">
        <v>12659395</v>
      </c>
      <c r="I19" s="22"/>
      <c r="J19" s="22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4" t="s">
        <v>18</v>
      </c>
      <c r="B20" s="73">
        <f>SUM(B21:B29)</f>
        <v>2700284.3146899999</v>
      </c>
      <c r="C20" s="48">
        <f t="shared" ref="C20:H20" si="5">SUM(C21:C29)</f>
        <v>2759471</v>
      </c>
      <c r="D20" s="149">
        <f t="shared" si="5"/>
        <v>2843026</v>
      </c>
      <c r="E20" s="150">
        <f t="shared" si="5"/>
        <v>2900069</v>
      </c>
      <c r="F20" s="47">
        <f t="shared" si="5"/>
        <v>2999296</v>
      </c>
      <c r="G20" s="318">
        <f t="shared" si="5"/>
        <v>3062853</v>
      </c>
      <c r="H20" s="316">
        <f t="shared" si="5"/>
        <v>3099261</v>
      </c>
      <c r="I20" s="22"/>
      <c r="J20" s="22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19</v>
      </c>
      <c r="B21" s="77">
        <v>1352021.7734699999</v>
      </c>
      <c r="C21" s="48">
        <v>1357536</v>
      </c>
      <c r="D21" s="356">
        <v>1368441</v>
      </c>
      <c r="E21" s="357">
        <v>1381595</v>
      </c>
      <c r="F21" s="47">
        <v>1401958</v>
      </c>
      <c r="G21" s="318">
        <v>1430998</v>
      </c>
      <c r="H21" s="316">
        <v>1459844</v>
      </c>
      <c r="I21" s="22"/>
      <c r="J21" s="22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20</v>
      </c>
      <c r="B22" s="77">
        <v>232299.74083000002</v>
      </c>
      <c r="C22" s="48">
        <v>245529</v>
      </c>
      <c r="D22" s="356">
        <v>242718</v>
      </c>
      <c r="E22" s="357">
        <v>241740</v>
      </c>
      <c r="F22" s="47">
        <v>240460</v>
      </c>
      <c r="G22" s="318">
        <v>240961</v>
      </c>
      <c r="H22" s="316">
        <v>242487</v>
      </c>
      <c r="I22" s="22"/>
      <c r="J22" s="22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21</v>
      </c>
      <c r="B23" s="77">
        <v>55801.913319999992</v>
      </c>
      <c r="C23" s="48">
        <v>53104</v>
      </c>
      <c r="D23" s="356">
        <v>52439</v>
      </c>
      <c r="E23" s="357">
        <v>52169</v>
      </c>
      <c r="F23" s="47">
        <v>51835</v>
      </c>
      <c r="G23" s="318">
        <v>51885</v>
      </c>
      <c r="H23" s="316">
        <v>52156</v>
      </c>
      <c r="I23" s="22"/>
      <c r="J23" s="22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22</v>
      </c>
      <c r="B24" s="77">
        <v>4983.5142699999988</v>
      </c>
      <c r="C24" s="48">
        <v>4689</v>
      </c>
      <c r="D24" s="356">
        <v>4619</v>
      </c>
      <c r="E24" s="357">
        <v>4583</v>
      </c>
      <c r="F24" s="47">
        <v>4542</v>
      </c>
      <c r="G24" s="318">
        <v>4537</v>
      </c>
      <c r="H24" s="316">
        <v>4551</v>
      </c>
      <c r="I24" s="22"/>
      <c r="J24" s="22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23</v>
      </c>
      <c r="B25" s="77">
        <v>1021078.1292499996</v>
      </c>
      <c r="C25" s="48">
        <v>967438</v>
      </c>
      <c r="D25" s="356">
        <v>1042637</v>
      </c>
      <c r="E25" s="357">
        <v>1086996</v>
      </c>
      <c r="F25" s="47">
        <v>1166258</v>
      </c>
      <c r="G25" s="318">
        <v>1197956</v>
      </c>
      <c r="H25" s="316">
        <v>1200803</v>
      </c>
      <c r="I25" s="22"/>
      <c r="J25" s="22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24</v>
      </c>
      <c r="B26" s="77">
        <v>12777.880029999998</v>
      </c>
      <c r="C26" s="48">
        <v>11450</v>
      </c>
      <c r="D26" s="356">
        <v>11456</v>
      </c>
      <c r="E26" s="357">
        <v>11547</v>
      </c>
      <c r="F26" s="47">
        <v>11625</v>
      </c>
      <c r="G26" s="318">
        <v>11790</v>
      </c>
      <c r="H26" s="316">
        <v>12007</v>
      </c>
      <c r="I26" s="22"/>
      <c r="J26" s="22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9" t="s">
        <v>25</v>
      </c>
      <c r="B27" s="77">
        <v>21127.798239999996</v>
      </c>
      <c r="C27" s="48">
        <v>20910</v>
      </c>
      <c r="D27" s="356">
        <v>20977</v>
      </c>
      <c r="E27" s="357">
        <v>21199</v>
      </c>
      <c r="F27" s="47">
        <v>21399</v>
      </c>
      <c r="G27" s="318">
        <v>21761</v>
      </c>
      <c r="H27" s="316">
        <v>22223</v>
      </c>
      <c r="I27" s="22"/>
      <c r="J27" s="22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9" t="s">
        <v>26</v>
      </c>
      <c r="B28" s="77">
        <v>193.56527999999997</v>
      </c>
      <c r="C28" s="48">
        <v>210</v>
      </c>
      <c r="D28" s="356">
        <v>179</v>
      </c>
      <c r="E28" s="357">
        <v>155</v>
      </c>
      <c r="F28" s="47">
        <v>135</v>
      </c>
      <c r="G28" s="318">
        <v>115</v>
      </c>
      <c r="H28" s="316">
        <v>99</v>
      </c>
      <c r="I28" s="22"/>
      <c r="J28" s="22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9" t="s">
        <v>91</v>
      </c>
      <c r="B29" s="77">
        <v>0</v>
      </c>
      <c r="C29" s="48">
        <v>98605</v>
      </c>
      <c r="D29" s="356">
        <v>99560</v>
      </c>
      <c r="E29" s="357">
        <v>100085</v>
      </c>
      <c r="F29" s="47">
        <v>101084</v>
      </c>
      <c r="G29" s="318">
        <v>102850</v>
      </c>
      <c r="H29" s="316">
        <v>105091</v>
      </c>
      <c r="I29" s="22"/>
      <c r="J29" s="22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41" t="s">
        <v>27</v>
      </c>
      <c r="B30" s="358">
        <f t="shared" ref="B30:H30" si="6">SUM(B31:B34)</f>
        <v>36827.937919999997</v>
      </c>
      <c r="C30" s="359">
        <f t="shared" si="6"/>
        <v>45419.760730000002</v>
      </c>
      <c r="D30" s="360">
        <f t="shared" si="6"/>
        <v>48702</v>
      </c>
      <c r="E30" s="361">
        <f t="shared" si="6"/>
        <v>51795</v>
      </c>
      <c r="F30" s="361">
        <f t="shared" si="6"/>
        <v>54708</v>
      </c>
      <c r="G30" s="362">
        <f t="shared" si="6"/>
        <v>57827</v>
      </c>
      <c r="H30" s="363">
        <f t="shared" si="6"/>
        <v>61026</v>
      </c>
      <c r="I30" s="22"/>
      <c r="J30" s="22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28</v>
      </c>
      <c r="B31" s="77">
        <v>14.2415</v>
      </c>
      <c r="C31" s="48">
        <v>49.694699999999997</v>
      </c>
      <c r="D31" s="356">
        <v>0</v>
      </c>
      <c r="E31" s="357">
        <v>0</v>
      </c>
      <c r="F31" s="47">
        <v>0</v>
      </c>
      <c r="G31" s="318">
        <v>0</v>
      </c>
      <c r="H31" s="316">
        <v>0</v>
      </c>
      <c r="I31" s="22"/>
      <c r="J31" s="22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29</v>
      </c>
      <c r="B32" s="77">
        <v>0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>
        <v>0</v>
      </c>
      <c r="I32" s="22"/>
      <c r="J32" s="22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30</v>
      </c>
      <c r="B33" s="77">
        <v>36813.69642</v>
      </c>
      <c r="C33" s="48">
        <v>45370.066030000002</v>
      </c>
      <c r="D33" s="356">
        <v>48702</v>
      </c>
      <c r="E33" s="357">
        <v>51795</v>
      </c>
      <c r="F33" s="47">
        <v>54708</v>
      </c>
      <c r="G33" s="318">
        <v>57827</v>
      </c>
      <c r="H33" s="316">
        <v>61026</v>
      </c>
      <c r="I33" s="22"/>
      <c r="J33" s="22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>
        <v>0</v>
      </c>
      <c r="I34" s="22"/>
      <c r="J34" s="22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32</v>
      </c>
      <c r="B35" s="358">
        <f t="shared" ref="B35:H35" si="7">SUM(B36:B37)</f>
        <v>973461.24368000007</v>
      </c>
      <c r="C35" s="359">
        <f t="shared" si="7"/>
        <v>1024389</v>
      </c>
      <c r="D35" s="360">
        <f t="shared" si="7"/>
        <v>1061479</v>
      </c>
      <c r="E35" s="361">
        <f t="shared" si="7"/>
        <v>1074583</v>
      </c>
      <c r="F35" s="361">
        <f t="shared" si="7"/>
        <v>1089240</v>
      </c>
      <c r="G35" s="362">
        <f t="shared" si="7"/>
        <v>1105967</v>
      </c>
      <c r="H35" s="363">
        <f t="shared" si="7"/>
        <v>1123473</v>
      </c>
      <c r="I35" s="22"/>
      <c r="J35" s="22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33</v>
      </c>
      <c r="B36" s="77">
        <v>618717.19252000004</v>
      </c>
      <c r="C36" s="48">
        <v>650829</v>
      </c>
      <c r="D36" s="356">
        <v>667659</v>
      </c>
      <c r="E36" s="357">
        <v>675280</v>
      </c>
      <c r="F36" s="47">
        <v>682316</v>
      </c>
      <c r="G36" s="318">
        <v>688826</v>
      </c>
      <c r="H36" s="316">
        <v>696063</v>
      </c>
      <c r="I36" s="22"/>
      <c r="J36" s="22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34</v>
      </c>
      <c r="B37" s="77">
        <v>354744.05116000003</v>
      </c>
      <c r="C37" s="48">
        <v>373560</v>
      </c>
      <c r="D37" s="356">
        <v>393820</v>
      </c>
      <c r="E37" s="357">
        <v>399303</v>
      </c>
      <c r="F37" s="47">
        <v>406924</v>
      </c>
      <c r="G37" s="318">
        <v>417141</v>
      </c>
      <c r="H37" s="316">
        <v>427410</v>
      </c>
      <c r="I37" s="22"/>
      <c r="J37" s="22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41" t="s">
        <v>36</v>
      </c>
      <c r="B38" s="358">
        <f t="shared" ref="B38:H38" si="8">SUM(B39:B46,B49:B53)</f>
        <v>950587.20530999999</v>
      </c>
      <c r="C38" s="359">
        <f t="shared" si="8"/>
        <v>1193756.8463400002</v>
      </c>
      <c r="D38" s="360">
        <f t="shared" si="8"/>
        <v>1309644</v>
      </c>
      <c r="E38" s="361">
        <f t="shared" si="8"/>
        <v>1279880</v>
      </c>
      <c r="F38" s="361">
        <f t="shared" si="8"/>
        <v>1197882</v>
      </c>
      <c r="G38" s="362">
        <f t="shared" si="8"/>
        <v>1244198</v>
      </c>
      <c r="H38" s="363">
        <f t="shared" si="8"/>
        <v>1293879</v>
      </c>
      <c r="I38" s="22"/>
      <c r="J38" s="22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>
        <v>0</v>
      </c>
      <c r="I39" s="22"/>
      <c r="J39" s="22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39</v>
      </c>
      <c r="B40" s="77">
        <v>140288.88676999998</v>
      </c>
      <c r="C40" s="48">
        <v>137467</v>
      </c>
      <c r="D40" s="356">
        <v>138892</v>
      </c>
      <c r="E40" s="357">
        <v>140557</v>
      </c>
      <c r="F40" s="47">
        <v>142982</v>
      </c>
      <c r="G40" s="318">
        <v>146328</v>
      </c>
      <c r="H40" s="316">
        <v>149666</v>
      </c>
      <c r="I40" s="22"/>
      <c r="J40" s="22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/>
      <c r="H41" s="316"/>
      <c r="I41" s="22"/>
      <c r="J41" s="22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41</v>
      </c>
      <c r="B42" s="77">
        <v>559965.65262000007</v>
      </c>
      <c r="C42" s="48">
        <v>474057</v>
      </c>
      <c r="D42" s="356">
        <v>428331</v>
      </c>
      <c r="E42" s="357">
        <v>376028</v>
      </c>
      <c r="F42" s="47">
        <v>259464</v>
      </c>
      <c r="G42" s="318">
        <v>265968</v>
      </c>
      <c r="H42" s="316">
        <v>274777</v>
      </c>
      <c r="I42" s="22"/>
      <c r="J42" s="22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88</v>
      </c>
      <c r="B43" s="77">
        <v>55672.171799999996</v>
      </c>
      <c r="C43" s="48">
        <v>0</v>
      </c>
      <c r="D43" s="356">
        <v>0</v>
      </c>
      <c r="E43" s="357">
        <v>0</v>
      </c>
      <c r="F43" s="47">
        <v>0</v>
      </c>
      <c r="G43" s="318">
        <v>0</v>
      </c>
      <c r="H43" s="316">
        <v>0</v>
      </c>
      <c r="I43" s="22"/>
      <c r="J43" s="22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3" t="s">
        <v>89</v>
      </c>
      <c r="B44" s="77">
        <v>7528.9286100000008</v>
      </c>
      <c r="C44" s="48">
        <v>347.465299999997</v>
      </c>
      <c r="D44" s="356">
        <v>0</v>
      </c>
      <c r="E44" s="357">
        <v>0</v>
      </c>
      <c r="F44" s="47">
        <v>0</v>
      </c>
      <c r="G44" s="318">
        <v>0</v>
      </c>
      <c r="H44" s="316">
        <v>0</v>
      </c>
      <c r="I44" s="22"/>
      <c r="J44" s="22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3" t="s">
        <v>42</v>
      </c>
      <c r="B45" s="77">
        <v>2117.90022</v>
      </c>
      <c r="C45" s="48">
        <v>0</v>
      </c>
      <c r="D45" s="356">
        <v>0</v>
      </c>
      <c r="E45" s="357">
        <v>0</v>
      </c>
      <c r="F45" s="47">
        <v>0</v>
      </c>
      <c r="G45" s="318">
        <v>0</v>
      </c>
      <c r="H45" s="316">
        <v>0</v>
      </c>
      <c r="I45" s="22"/>
      <c r="J45" s="22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43</v>
      </c>
      <c r="B46" s="77">
        <f>+B47+B48</f>
        <v>360.98953999999998</v>
      </c>
      <c r="C46" s="48">
        <f>+C47+C48</f>
        <v>361.98588000000001</v>
      </c>
      <c r="D46" s="356">
        <f t="shared" ref="D46:H46" si="9">+D47+D48</f>
        <v>361</v>
      </c>
      <c r="E46" s="357">
        <f t="shared" si="9"/>
        <v>361</v>
      </c>
      <c r="F46" s="47">
        <f t="shared" si="9"/>
        <v>361</v>
      </c>
      <c r="G46" s="318">
        <f t="shared" si="9"/>
        <v>361</v>
      </c>
      <c r="H46" s="316">
        <f t="shared" si="9"/>
        <v>361</v>
      </c>
      <c r="I46" s="22"/>
      <c r="J46" s="22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6" t="s">
        <v>10</v>
      </c>
      <c r="B47" s="77">
        <v>82.454829999999959</v>
      </c>
      <c r="C47" s="48">
        <v>82.985880000000009</v>
      </c>
      <c r="D47" s="356">
        <v>0</v>
      </c>
      <c r="E47" s="357">
        <v>0</v>
      </c>
      <c r="F47" s="47">
        <v>0</v>
      </c>
      <c r="G47" s="318">
        <v>0</v>
      </c>
      <c r="H47" s="316">
        <v>0</v>
      </c>
      <c r="I47" s="22"/>
      <c r="J47" s="22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56" t="s">
        <v>11</v>
      </c>
      <c r="B48" s="77">
        <v>278.53471000000002</v>
      </c>
      <c r="C48" s="48">
        <v>279</v>
      </c>
      <c r="D48" s="356">
        <v>361</v>
      </c>
      <c r="E48" s="357">
        <v>361</v>
      </c>
      <c r="F48" s="47">
        <v>361</v>
      </c>
      <c r="G48" s="318">
        <v>361</v>
      </c>
      <c r="H48" s="316">
        <v>361</v>
      </c>
      <c r="I48" s="22"/>
      <c r="J48" s="22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44</v>
      </c>
      <c r="B49" s="77">
        <v>765.42763000000002</v>
      </c>
      <c r="C49" s="48">
        <v>273.24873000000002</v>
      </c>
      <c r="D49" s="356">
        <v>1000</v>
      </c>
      <c r="E49" s="357">
        <v>1000</v>
      </c>
      <c r="F49" s="47">
        <v>1000</v>
      </c>
      <c r="G49" s="318">
        <v>1000</v>
      </c>
      <c r="H49" s="316">
        <v>1000</v>
      </c>
      <c r="I49" s="22"/>
      <c r="J49" s="22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53" t="s">
        <v>45</v>
      </c>
      <c r="B50" s="77">
        <v>30281.73488</v>
      </c>
      <c r="C50" s="48">
        <v>27955.40238</v>
      </c>
      <c r="D50" s="356">
        <v>28237</v>
      </c>
      <c r="E50" s="357">
        <v>17556</v>
      </c>
      <c r="F50" s="47">
        <v>17963</v>
      </c>
      <c r="G50" s="318">
        <v>18550</v>
      </c>
      <c r="H50" s="316">
        <v>19136</v>
      </c>
      <c r="I50" s="22"/>
      <c r="J50" s="22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45" t="s">
        <v>92</v>
      </c>
      <c r="B51" s="77">
        <v>0</v>
      </c>
      <c r="C51" s="48">
        <v>389340.53188000002</v>
      </c>
      <c r="D51" s="356">
        <v>507763</v>
      </c>
      <c r="E51" s="357">
        <v>525983</v>
      </c>
      <c r="F51" s="47">
        <v>548142</v>
      </c>
      <c r="G51" s="318">
        <v>573045</v>
      </c>
      <c r="H51" s="316">
        <v>598720</v>
      </c>
      <c r="I51" s="22"/>
      <c r="J51" s="22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46</v>
      </c>
      <c r="B52" s="77">
        <v>10.8108</v>
      </c>
      <c r="C52" s="48">
        <v>-0.78783000000000003</v>
      </c>
      <c r="D52" s="356">
        <v>0</v>
      </c>
      <c r="E52" s="357">
        <v>0</v>
      </c>
      <c r="F52" s="47">
        <v>0</v>
      </c>
      <c r="G52" s="318">
        <v>0</v>
      </c>
      <c r="H52" s="316">
        <v>0</v>
      </c>
      <c r="I52" s="22"/>
      <c r="J52" s="22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24" t="s">
        <v>47</v>
      </c>
      <c r="B53" s="73">
        <f t="shared" ref="B53" si="10">+B54+B55+B56+B57</f>
        <v>153594.70243999999</v>
      </c>
      <c r="C53" s="48">
        <f>+C54+C55+C56+C57</f>
        <v>163955</v>
      </c>
      <c r="D53" s="74">
        <f t="shared" ref="D53:H53" si="11">+D54+D55+D56+D57</f>
        <v>205060</v>
      </c>
      <c r="E53" s="47">
        <f t="shared" si="11"/>
        <v>218395</v>
      </c>
      <c r="F53" s="47">
        <f t="shared" si="11"/>
        <v>227970</v>
      </c>
      <c r="G53" s="318">
        <f t="shared" si="11"/>
        <v>238946</v>
      </c>
      <c r="H53" s="316">
        <f t="shared" si="11"/>
        <v>250219</v>
      </c>
      <c r="I53" s="22"/>
      <c r="J53" s="22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36" t="s">
        <v>10</v>
      </c>
      <c r="B54" s="73">
        <f>+B58+B59+B60+73.45814</f>
        <v>111991.48939</v>
      </c>
      <c r="C54" s="48">
        <f t="shared" ref="C54:G54" si="12">+C58+C59+C60</f>
        <v>123174</v>
      </c>
      <c r="D54" s="74">
        <f t="shared" si="12"/>
        <v>153193</v>
      </c>
      <c r="E54" s="47">
        <f t="shared" si="12"/>
        <v>162875</v>
      </c>
      <c r="F54" s="47">
        <f t="shared" si="12"/>
        <v>169746</v>
      </c>
      <c r="G54" s="318">
        <f t="shared" si="12"/>
        <v>177524</v>
      </c>
      <c r="H54" s="318">
        <f t="shared" ref="H54" si="13">+H58+H59+H60</f>
        <v>185478</v>
      </c>
      <c r="I54" s="22"/>
      <c r="J54" s="22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36" t="s">
        <v>11</v>
      </c>
      <c r="B55" s="73">
        <f>2346.05058+6.00035</f>
        <v>2352.0509299999999</v>
      </c>
      <c r="C55" s="48">
        <v>0</v>
      </c>
      <c r="D55" s="74">
        <v>0</v>
      </c>
      <c r="E55" s="47">
        <v>0</v>
      </c>
      <c r="F55" s="47">
        <v>0</v>
      </c>
      <c r="G55" s="318">
        <v>0</v>
      </c>
      <c r="H55" s="318">
        <v>0</v>
      </c>
      <c r="I55" s="22"/>
      <c r="J55" s="22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8">
        <v>0</v>
      </c>
      <c r="I56" s="22"/>
      <c r="J56" s="22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36" t="s">
        <v>49</v>
      </c>
      <c r="B57" s="73">
        <f t="shared" ref="B57:G57" si="14">+B61</f>
        <v>39251.162120000001</v>
      </c>
      <c r="C57" s="48">
        <f t="shared" si="14"/>
        <v>40781</v>
      </c>
      <c r="D57" s="74">
        <f t="shared" si="14"/>
        <v>51867</v>
      </c>
      <c r="E57" s="47">
        <f t="shared" si="14"/>
        <v>55520</v>
      </c>
      <c r="F57" s="47">
        <f t="shared" si="14"/>
        <v>58224</v>
      </c>
      <c r="G57" s="318">
        <f t="shared" si="14"/>
        <v>61422</v>
      </c>
      <c r="H57" s="318">
        <f t="shared" ref="H57" si="15">+H61</f>
        <v>64741</v>
      </c>
      <c r="I57" s="22"/>
      <c r="J57" s="22"/>
      <c r="K57" s="23"/>
      <c r="L57" s="23"/>
      <c r="M57" s="23"/>
      <c r="N57" s="23"/>
      <c r="O57" s="23"/>
      <c r="P57" s="23"/>
      <c r="Q57" s="23"/>
    </row>
    <row r="58" spans="1:17" ht="14.25" customHeight="1" x14ac:dyDescent="0.25">
      <c r="A58" s="252" t="s">
        <v>50</v>
      </c>
      <c r="B58" s="73">
        <v>0.25095000000000001</v>
      </c>
      <c r="C58" s="48">
        <v>0</v>
      </c>
      <c r="D58" s="74">
        <v>0</v>
      </c>
      <c r="E58" s="47">
        <v>0</v>
      </c>
      <c r="F58" s="47">
        <v>0</v>
      </c>
      <c r="G58" s="318"/>
      <c r="H58" s="316"/>
      <c r="I58" s="22"/>
      <c r="J58" s="22"/>
      <c r="K58" s="23"/>
      <c r="L58" s="23"/>
      <c r="M58" s="23"/>
      <c r="N58" s="23"/>
      <c r="O58" s="23"/>
      <c r="P58" s="23"/>
      <c r="Q58" s="23"/>
    </row>
    <row r="59" spans="1:17" ht="14.25" customHeight="1" x14ac:dyDescent="0.25">
      <c r="A59" s="252" t="s">
        <v>51</v>
      </c>
      <c r="B59" s="73">
        <v>-42.588760000000001</v>
      </c>
      <c r="C59" s="48">
        <v>2</v>
      </c>
      <c r="D59" s="74">
        <v>0</v>
      </c>
      <c r="E59" s="47">
        <v>0</v>
      </c>
      <c r="F59" s="47">
        <v>0</v>
      </c>
      <c r="G59" s="318">
        <v>0</v>
      </c>
      <c r="H59" s="316">
        <v>0</v>
      </c>
      <c r="I59" s="22"/>
      <c r="J59" s="22"/>
      <c r="K59" s="23"/>
      <c r="L59" s="23"/>
      <c r="M59" s="23"/>
      <c r="N59" s="23"/>
      <c r="O59" s="23"/>
      <c r="P59" s="23"/>
      <c r="Q59" s="23"/>
    </row>
    <row r="60" spans="1:17" ht="14.25" customHeight="1" x14ac:dyDescent="0.25">
      <c r="A60" s="252" t="s">
        <v>52</v>
      </c>
      <c r="B60" s="73">
        <v>111960.36906</v>
      </c>
      <c r="C60" s="48">
        <v>123172</v>
      </c>
      <c r="D60" s="74">
        <v>153193</v>
      </c>
      <c r="E60" s="47">
        <v>162875</v>
      </c>
      <c r="F60" s="47">
        <v>169746</v>
      </c>
      <c r="G60" s="318">
        <v>177524</v>
      </c>
      <c r="H60" s="316">
        <v>185478</v>
      </c>
      <c r="I60" s="22"/>
      <c r="J60" s="22"/>
      <c r="K60" s="23"/>
      <c r="L60" s="23"/>
      <c r="M60" s="23"/>
      <c r="N60" s="23"/>
      <c r="O60" s="23"/>
      <c r="P60" s="23"/>
      <c r="Q60" s="23"/>
    </row>
    <row r="61" spans="1:17" ht="14.25" customHeight="1" thickBot="1" x14ac:dyDescent="0.3">
      <c r="A61" s="253" t="s">
        <v>53</v>
      </c>
      <c r="B61" s="364">
        <v>39251.162120000001</v>
      </c>
      <c r="C61" s="365">
        <v>40781</v>
      </c>
      <c r="D61" s="366">
        <v>51867</v>
      </c>
      <c r="E61" s="367">
        <v>55520</v>
      </c>
      <c r="F61" s="367">
        <v>58224</v>
      </c>
      <c r="G61" s="368">
        <v>61422</v>
      </c>
      <c r="H61" s="369">
        <v>64741</v>
      </c>
      <c r="I61" s="22"/>
      <c r="J61" s="22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16" t="s">
        <v>54</v>
      </c>
      <c r="B62" s="370">
        <f t="shared" ref="B62:H62" si="16">B63+B67</f>
        <v>17303235.117621232</v>
      </c>
      <c r="C62" s="371">
        <f t="shared" si="16"/>
        <v>18394984</v>
      </c>
      <c r="D62" s="372">
        <f t="shared" si="16"/>
        <v>19832609</v>
      </c>
      <c r="E62" s="373">
        <f t="shared" si="16"/>
        <v>20718431</v>
      </c>
      <c r="F62" s="373">
        <f t="shared" si="16"/>
        <v>21090169</v>
      </c>
      <c r="G62" s="374">
        <f t="shared" si="16"/>
        <v>21935274</v>
      </c>
      <c r="H62" s="375">
        <f t="shared" si="16"/>
        <v>22807314</v>
      </c>
      <c r="I62" s="22"/>
      <c r="J62" s="22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72" t="s">
        <v>55</v>
      </c>
      <c r="B63" s="358">
        <f>B64</f>
        <v>11345254.749081191</v>
      </c>
      <c r="C63" s="359">
        <f t="shared" ref="C63:H63" si="17">C64</f>
        <v>12040071</v>
      </c>
      <c r="D63" s="360">
        <f t="shared" si="17"/>
        <v>12778283</v>
      </c>
      <c r="E63" s="361">
        <f t="shared" si="17"/>
        <v>13386509</v>
      </c>
      <c r="F63" s="361">
        <f t="shared" si="17"/>
        <v>13921886</v>
      </c>
      <c r="G63" s="362">
        <f t="shared" si="17"/>
        <v>14469886</v>
      </c>
      <c r="H63" s="363">
        <f t="shared" si="17"/>
        <v>15036866</v>
      </c>
      <c r="I63" s="22"/>
      <c r="J63" s="22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29" t="s">
        <v>56</v>
      </c>
      <c r="B64" s="73">
        <f>+B65+B66</f>
        <v>11345254.749081191</v>
      </c>
      <c r="C64" s="48">
        <f>+C65+C66</f>
        <v>12040071</v>
      </c>
      <c r="D64" s="74">
        <f>+D65+D66</f>
        <v>12778283</v>
      </c>
      <c r="E64" s="47">
        <f t="shared" ref="E64:H64" si="18">+E65+E66</f>
        <v>13386509</v>
      </c>
      <c r="F64" s="47">
        <f t="shared" si="18"/>
        <v>13921886</v>
      </c>
      <c r="G64" s="318">
        <f t="shared" si="18"/>
        <v>14469886</v>
      </c>
      <c r="H64" s="316">
        <f t="shared" si="18"/>
        <v>15036866</v>
      </c>
      <c r="I64" s="22"/>
      <c r="J64" s="22"/>
      <c r="K64" s="23"/>
      <c r="L64" s="23"/>
      <c r="M64" s="23"/>
      <c r="N64" s="23"/>
      <c r="O64" s="23"/>
      <c r="P64" s="23"/>
      <c r="Q64" s="23"/>
    </row>
    <row r="65" spans="1:19" ht="13.5" customHeight="1" x14ac:dyDescent="0.25">
      <c r="A65" s="29" t="s">
        <v>57</v>
      </c>
      <c r="B65" s="73">
        <v>10909899.678581191</v>
      </c>
      <c r="C65" s="48">
        <v>11853486</v>
      </c>
      <c r="D65" s="74">
        <v>12560800</v>
      </c>
      <c r="E65" s="47">
        <v>13170847</v>
      </c>
      <c r="F65" s="47">
        <v>13707530</v>
      </c>
      <c r="G65" s="318">
        <v>14256934</v>
      </c>
      <c r="H65" s="316">
        <v>14825327</v>
      </c>
      <c r="I65" s="22"/>
      <c r="J65" s="22"/>
      <c r="K65" s="23"/>
      <c r="L65" s="23"/>
      <c r="M65" s="23"/>
      <c r="N65" s="23"/>
      <c r="O65" s="23"/>
      <c r="P65" s="23"/>
      <c r="Q65" s="23"/>
    </row>
    <row r="66" spans="1:19" ht="13.5" customHeight="1" x14ac:dyDescent="0.25">
      <c r="A66" s="29" t="s">
        <v>58</v>
      </c>
      <c r="B66" s="73">
        <v>435355.07050000003</v>
      </c>
      <c r="C66" s="48">
        <v>186585</v>
      </c>
      <c r="D66" s="74">
        <v>217483</v>
      </c>
      <c r="E66" s="47">
        <v>215662</v>
      </c>
      <c r="F66" s="47">
        <v>214356</v>
      </c>
      <c r="G66" s="318">
        <v>212952</v>
      </c>
      <c r="H66" s="316">
        <v>211539</v>
      </c>
      <c r="I66" s="22"/>
      <c r="J66" s="22"/>
      <c r="K66" s="23"/>
      <c r="L66" s="23"/>
      <c r="M66" s="23"/>
      <c r="N66" s="23"/>
      <c r="O66" s="23"/>
      <c r="P66" s="23"/>
      <c r="Q66" s="23"/>
    </row>
    <row r="67" spans="1:19" ht="13.5" customHeight="1" x14ac:dyDescent="0.25">
      <c r="A67" s="72" t="s">
        <v>59</v>
      </c>
      <c r="B67" s="358">
        <f>B68</f>
        <v>5957980.3685400402</v>
      </c>
      <c r="C67" s="359">
        <f t="shared" ref="C67:H67" si="19">C68</f>
        <v>6354913</v>
      </c>
      <c r="D67" s="360">
        <f>D68</f>
        <v>7054326</v>
      </c>
      <c r="E67" s="361">
        <f t="shared" si="19"/>
        <v>7331922</v>
      </c>
      <c r="F67" s="361">
        <f t="shared" si="19"/>
        <v>7168283</v>
      </c>
      <c r="G67" s="362">
        <f t="shared" si="19"/>
        <v>7465388</v>
      </c>
      <c r="H67" s="363">
        <f t="shared" si="19"/>
        <v>7770448</v>
      </c>
      <c r="I67" s="22"/>
      <c r="J67" s="22"/>
      <c r="K67" s="23"/>
      <c r="L67" s="23"/>
      <c r="M67" s="23"/>
      <c r="N67" s="23"/>
      <c r="O67" s="23"/>
      <c r="P67" s="23"/>
      <c r="Q67" s="23"/>
    </row>
    <row r="68" spans="1:19" ht="13.5" customHeight="1" x14ac:dyDescent="0.25">
      <c r="A68" s="29" t="s">
        <v>56</v>
      </c>
      <c r="B68" s="73">
        <v>5957980.3685400402</v>
      </c>
      <c r="C68" s="48">
        <v>6354913</v>
      </c>
      <c r="D68" s="74">
        <v>7054326</v>
      </c>
      <c r="E68" s="47">
        <v>7331922</v>
      </c>
      <c r="F68" s="47">
        <v>7168283</v>
      </c>
      <c r="G68" s="318">
        <v>7465388</v>
      </c>
      <c r="H68" s="316">
        <v>7770448</v>
      </c>
      <c r="I68" s="22"/>
      <c r="J68" s="22"/>
      <c r="K68" s="23"/>
      <c r="L68" s="23"/>
      <c r="M68" s="23"/>
      <c r="N68" s="23"/>
      <c r="O68" s="23"/>
      <c r="P68" s="23"/>
      <c r="Q68" s="23"/>
    </row>
    <row r="69" spans="1:19" ht="14.25" customHeight="1" thickBot="1" x14ac:dyDescent="0.3">
      <c r="A69" s="76" t="s">
        <v>60</v>
      </c>
      <c r="B69" s="77">
        <v>49423</v>
      </c>
      <c r="C69" s="48">
        <v>53438</v>
      </c>
      <c r="D69" s="356">
        <v>57424</v>
      </c>
      <c r="E69" s="357">
        <v>57998</v>
      </c>
      <c r="F69" s="357">
        <v>58205</v>
      </c>
      <c r="G69" s="376">
        <v>58276</v>
      </c>
      <c r="H69" s="377">
        <v>58178</v>
      </c>
      <c r="I69" s="22"/>
      <c r="J69" s="22"/>
      <c r="K69" s="23"/>
      <c r="L69" s="23"/>
      <c r="M69" s="23"/>
      <c r="N69" s="23"/>
      <c r="O69" s="23"/>
      <c r="P69" s="23"/>
      <c r="Q69" s="23"/>
    </row>
    <row r="70" spans="1:19" ht="14.25" customHeight="1" thickBot="1" x14ac:dyDescent="0.3">
      <c r="A70" s="78" t="s">
        <v>61</v>
      </c>
      <c r="B70" s="378">
        <f t="shared" ref="B70:H70" si="20">B38+B35+B30+B18+B5</f>
        <v>24522808.381853331</v>
      </c>
      <c r="C70" s="379">
        <f t="shared" si="20"/>
        <v>26289859.632140003</v>
      </c>
      <c r="D70" s="380">
        <f t="shared" si="20"/>
        <v>27674053</v>
      </c>
      <c r="E70" s="381">
        <f t="shared" si="20"/>
        <v>27979323</v>
      </c>
      <c r="F70" s="381">
        <f t="shared" si="20"/>
        <v>28955435</v>
      </c>
      <c r="G70" s="382">
        <f t="shared" si="20"/>
        <v>30066713</v>
      </c>
      <c r="H70" s="383">
        <f t="shared" si="20"/>
        <v>31299334</v>
      </c>
      <c r="I70" s="22"/>
      <c r="J70" s="184"/>
      <c r="K70" s="184"/>
      <c r="L70" s="184"/>
      <c r="M70" s="184"/>
      <c r="N70" s="184"/>
      <c r="O70" s="184"/>
      <c r="P70" s="184"/>
      <c r="Q70" s="184"/>
      <c r="R70" s="22"/>
      <c r="S70" s="22"/>
    </row>
    <row r="71" spans="1:19" ht="13.5" customHeight="1" x14ac:dyDescent="0.25">
      <c r="A71" s="83" t="s">
        <v>62</v>
      </c>
      <c r="B71" s="384">
        <f>B9+B13+B17+B19+B20+B30+B47+B52+B54+B40+B39+B43+B44+B51+B42+B16</f>
        <v>19689148.51199333</v>
      </c>
      <c r="C71" s="157">
        <f>C9+C13+C17+C19+C20+C30+C47+C52+C54+C40+C39+C43+C44+C51+C42+C16</f>
        <v>21762051.981029999</v>
      </c>
      <c r="D71" s="385">
        <f>D9+D13+D17+D19+D20+D30+D47+D52+D54+D40+D39+D43+D44+D51+D42+D16+D49</f>
        <v>22815451</v>
      </c>
      <c r="E71" s="156">
        <f t="shared" ref="E71:H71" si="21">E9+E13+E17+E19+E20+E30+E47+E52+E54+E40+E39+E43+E44+E51+E42+E16+E49</f>
        <v>22915200</v>
      </c>
      <c r="F71" s="156">
        <f t="shared" si="21"/>
        <v>23720305</v>
      </c>
      <c r="G71" s="319">
        <f t="shared" si="21"/>
        <v>24593398</v>
      </c>
      <c r="H71" s="317">
        <f t="shared" si="21"/>
        <v>25567325</v>
      </c>
      <c r="I71" s="22"/>
      <c r="J71" s="184"/>
      <c r="K71" s="184"/>
      <c r="L71" s="184"/>
      <c r="M71" s="184"/>
      <c r="N71" s="184"/>
      <c r="O71" s="184"/>
      <c r="P71" s="184"/>
      <c r="Q71" s="184"/>
      <c r="R71" s="22"/>
      <c r="S71" s="22"/>
    </row>
    <row r="72" spans="1:19" ht="13.5" customHeight="1" x14ac:dyDescent="0.25">
      <c r="A72" s="83" t="s">
        <v>63</v>
      </c>
      <c r="B72" s="384">
        <f>+B61</f>
        <v>39251.162120000001</v>
      </c>
      <c r="C72" s="157">
        <f t="shared" ref="C72:H72" si="22">0+C57</f>
        <v>40781</v>
      </c>
      <c r="D72" s="385">
        <f t="shared" si="22"/>
        <v>51867</v>
      </c>
      <c r="E72" s="156">
        <f t="shared" si="22"/>
        <v>55520</v>
      </c>
      <c r="F72" s="156">
        <f t="shared" si="22"/>
        <v>58224</v>
      </c>
      <c r="G72" s="319">
        <f t="shared" si="22"/>
        <v>61422</v>
      </c>
      <c r="H72" s="317">
        <f t="shared" si="22"/>
        <v>64741</v>
      </c>
      <c r="I72" s="22"/>
      <c r="J72" s="184"/>
      <c r="K72" s="184"/>
      <c r="L72" s="184"/>
      <c r="M72" s="184"/>
      <c r="N72" s="184"/>
      <c r="O72" s="184"/>
      <c r="P72" s="184"/>
      <c r="Q72" s="184"/>
      <c r="R72" s="22"/>
      <c r="S72" s="22"/>
    </row>
    <row r="73" spans="1:19" ht="13.5" customHeight="1" x14ac:dyDescent="0.25">
      <c r="A73" s="24" t="s">
        <v>64</v>
      </c>
      <c r="B73" s="384">
        <v>0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2"/>
      <c r="J73" s="184"/>
      <c r="K73" s="184"/>
      <c r="L73" s="184"/>
      <c r="M73" s="184"/>
      <c r="N73" s="184"/>
      <c r="O73" s="184"/>
      <c r="P73" s="184"/>
      <c r="Q73" s="184"/>
      <c r="R73" s="22"/>
      <c r="S73" s="22"/>
    </row>
    <row r="74" spans="1:19" ht="13.5" customHeight="1" x14ac:dyDescent="0.25">
      <c r="A74" s="24" t="s">
        <v>65</v>
      </c>
      <c r="B74" s="384">
        <f t="shared" ref="B74:H74" si="23">B10+B37+B36+B48+B55+B14</f>
        <v>3625698.0204000003</v>
      </c>
      <c r="C74" s="157">
        <f t="shared" si="23"/>
        <v>3262377</v>
      </c>
      <c r="D74" s="385">
        <f t="shared" si="23"/>
        <v>3475959</v>
      </c>
      <c r="E74" s="156">
        <f t="shared" si="23"/>
        <v>3597019</v>
      </c>
      <c r="F74" s="156">
        <f t="shared" si="23"/>
        <v>3710198</v>
      </c>
      <c r="G74" s="319">
        <f t="shared" si="23"/>
        <v>3867103</v>
      </c>
      <c r="H74" s="317">
        <f t="shared" si="23"/>
        <v>4037416</v>
      </c>
      <c r="I74" s="22"/>
      <c r="J74" s="184"/>
      <c r="K74" s="184"/>
      <c r="L74" s="184"/>
      <c r="M74" s="184"/>
      <c r="N74" s="184"/>
      <c r="O74" s="184"/>
      <c r="P74" s="184"/>
      <c r="Q74" s="184"/>
      <c r="R74" s="22"/>
      <c r="S74" s="22"/>
    </row>
    <row r="75" spans="1:19" ht="13.5" customHeight="1" x14ac:dyDescent="0.25">
      <c r="A75" s="24" t="s">
        <v>66</v>
      </c>
      <c r="B75" s="384">
        <f t="shared" ref="B75:H75" si="24">B11+B56+B15</f>
        <v>1135545.6246100003</v>
      </c>
      <c r="C75" s="157">
        <f t="shared" si="24"/>
        <v>1196421</v>
      </c>
      <c r="D75" s="385">
        <f t="shared" si="24"/>
        <v>1302539</v>
      </c>
      <c r="E75" s="156">
        <f t="shared" si="24"/>
        <v>1394028</v>
      </c>
      <c r="F75" s="156">
        <f t="shared" si="24"/>
        <v>1448745</v>
      </c>
      <c r="G75" s="319">
        <f t="shared" si="24"/>
        <v>1526240</v>
      </c>
      <c r="H75" s="317">
        <f t="shared" si="24"/>
        <v>1610716</v>
      </c>
      <c r="I75" s="22"/>
      <c r="J75" s="184"/>
      <c r="K75" s="184"/>
      <c r="L75" s="184"/>
      <c r="M75" s="184"/>
      <c r="N75" s="184"/>
      <c r="O75" s="184"/>
      <c r="P75" s="184"/>
      <c r="Q75" s="184"/>
      <c r="R75" s="22"/>
      <c r="S75" s="22"/>
    </row>
    <row r="76" spans="1:19" ht="13.5" customHeight="1" x14ac:dyDescent="0.25">
      <c r="A76" s="24" t="s">
        <v>67</v>
      </c>
      <c r="B76" s="384">
        <f t="shared" ref="B76:H76" si="25">B45</f>
        <v>2117.90022</v>
      </c>
      <c r="C76" s="157">
        <f t="shared" si="25"/>
        <v>0</v>
      </c>
      <c r="D76" s="385">
        <f t="shared" si="25"/>
        <v>0</v>
      </c>
      <c r="E76" s="156">
        <f t="shared" si="25"/>
        <v>0</v>
      </c>
      <c r="F76" s="156">
        <f t="shared" si="25"/>
        <v>0</v>
      </c>
      <c r="G76" s="319">
        <f t="shared" si="25"/>
        <v>0</v>
      </c>
      <c r="H76" s="317">
        <f t="shared" si="25"/>
        <v>0</v>
      </c>
      <c r="I76" s="22"/>
      <c r="J76" s="184"/>
      <c r="K76" s="184"/>
      <c r="L76" s="184"/>
      <c r="M76" s="184"/>
      <c r="N76" s="184"/>
      <c r="O76" s="184"/>
      <c r="P76" s="184"/>
      <c r="Q76" s="184"/>
      <c r="R76" s="22"/>
      <c r="S76" s="22"/>
    </row>
    <row r="77" spans="1:19" ht="13.5" customHeight="1" x14ac:dyDescent="0.25">
      <c r="A77" s="24" t="s">
        <v>68</v>
      </c>
      <c r="B77" s="384">
        <f t="shared" ref="B77:C77" si="26">B50+B49</f>
        <v>31047.162509999998</v>
      </c>
      <c r="C77" s="157">
        <f t="shared" si="26"/>
        <v>28228.651109999999</v>
      </c>
      <c r="D77" s="385">
        <f>D50</f>
        <v>28237</v>
      </c>
      <c r="E77" s="156">
        <f t="shared" ref="E77:H77" si="27">E50</f>
        <v>17556</v>
      </c>
      <c r="F77" s="156">
        <f t="shared" si="27"/>
        <v>17963</v>
      </c>
      <c r="G77" s="319">
        <f t="shared" si="27"/>
        <v>18550</v>
      </c>
      <c r="H77" s="317">
        <f t="shared" si="27"/>
        <v>19136</v>
      </c>
      <c r="I77" s="22"/>
      <c r="J77" s="184"/>
      <c r="K77" s="184"/>
      <c r="L77" s="184"/>
      <c r="M77" s="184"/>
      <c r="N77" s="184"/>
      <c r="O77" s="184"/>
      <c r="P77" s="184"/>
      <c r="Q77" s="184"/>
      <c r="R77" s="22"/>
      <c r="S77" s="22"/>
    </row>
    <row r="78" spans="1:19" ht="14.25" customHeight="1" thickBot="1" x14ac:dyDescent="0.3">
      <c r="A78" s="86" t="s">
        <v>69</v>
      </c>
      <c r="B78" s="386">
        <f t="shared" ref="B78:H78" si="28">B62</f>
        <v>17303235.117621232</v>
      </c>
      <c r="C78" s="387">
        <f t="shared" si="28"/>
        <v>18394984</v>
      </c>
      <c r="D78" s="388">
        <f t="shared" si="28"/>
        <v>19832609</v>
      </c>
      <c r="E78" s="389">
        <f t="shared" si="28"/>
        <v>20718431</v>
      </c>
      <c r="F78" s="389">
        <f t="shared" si="28"/>
        <v>21090169</v>
      </c>
      <c r="G78" s="390">
        <f t="shared" si="28"/>
        <v>21935274</v>
      </c>
      <c r="H78" s="391">
        <f t="shared" si="28"/>
        <v>22807314</v>
      </c>
      <c r="I78" s="22"/>
      <c r="J78" s="184"/>
      <c r="K78" s="184"/>
      <c r="L78" s="184"/>
      <c r="M78" s="184"/>
      <c r="N78" s="184"/>
      <c r="O78" s="184"/>
      <c r="P78" s="184"/>
      <c r="Q78" s="184"/>
      <c r="R78" s="22"/>
      <c r="S78" s="22"/>
    </row>
    <row r="79" spans="1:19" ht="14.25" customHeight="1" thickBot="1" x14ac:dyDescent="0.3">
      <c r="A79" s="89" t="s">
        <v>70</v>
      </c>
      <c r="B79" s="378">
        <f t="shared" ref="B79:H79" si="29">B70+B78</f>
        <v>41826043.499474563</v>
      </c>
      <c r="C79" s="392">
        <f t="shared" si="29"/>
        <v>44684843.632140003</v>
      </c>
      <c r="D79" s="380">
        <f t="shared" si="29"/>
        <v>47506662</v>
      </c>
      <c r="E79" s="381">
        <f t="shared" si="29"/>
        <v>48697754</v>
      </c>
      <c r="F79" s="381">
        <f t="shared" si="29"/>
        <v>50045604</v>
      </c>
      <c r="G79" s="382">
        <f t="shared" si="29"/>
        <v>52001987</v>
      </c>
      <c r="H79" s="383">
        <f t="shared" si="29"/>
        <v>54106648</v>
      </c>
      <c r="I79" s="22"/>
      <c r="J79" s="184"/>
      <c r="K79" s="184"/>
      <c r="L79" s="184"/>
      <c r="M79" s="184"/>
      <c r="N79" s="184"/>
      <c r="O79" s="184"/>
      <c r="P79" s="184"/>
      <c r="Q79" s="184"/>
      <c r="R79" s="22"/>
      <c r="S79" s="22"/>
    </row>
    <row r="80" spans="1:19" s="91" customFormat="1" ht="13.5" customHeight="1" thickBot="1" x14ac:dyDescent="0.3">
      <c r="A80" s="92"/>
      <c r="B80" s="221"/>
      <c r="C80" s="221"/>
      <c r="D80" s="221"/>
      <c r="E80" s="221"/>
      <c r="F80" s="221"/>
      <c r="G80" s="221"/>
      <c r="H80" s="221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4.25" customHeight="1" thickBot="1" x14ac:dyDescent="0.3">
      <c r="A81" s="95" t="s">
        <v>71</v>
      </c>
      <c r="B81" s="97">
        <f t="shared" ref="B81:G81" si="30">SUM(B82:B83)</f>
        <v>105253.26207</v>
      </c>
      <c r="C81" s="98">
        <f t="shared" si="30"/>
        <v>109772</v>
      </c>
      <c r="D81" s="99">
        <f t="shared" si="30"/>
        <v>123993</v>
      </c>
      <c r="E81" s="99">
        <f t="shared" si="30"/>
        <v>131816</v>
      </c>
      <c r="F81" s="97">
        <f t="shared" si="30"/>
        <v>135732</v>
      </c>
      <c r="G81" s="97">
        <f t="shared" si="30"/>
        <v>142931</v>
      </c>
      <c r="H81" s="97">
        <f t="shared" ref="H81" si="31">SUM(H82:H83)</f>
        <v>149430</v>
      </c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3.5" customHeight="1" x14ac:dyDescent="0.25">
      <c r="A82" s="105" t="s">
        <v>72</v>
      </c>
      <c r="B82" s="106">
        <v>47704.866009999998</v>
      </c>
      <c r="C82" s="107">
        <v>49442</v>
      </c>
      <c r="D82" s="108">
        <v>59864</v>
      </c>
      <c r="E82" s="109">
        <v>64170</v>
      </c>
      <c r="F82" s="109">
        <v>66806</v>
      </c>
      <c r="G82" s="324">
        <v>70041</v>
      </c>
      <c r="H82" s="322">
        <v>73577</v>
      </c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4.25" customHeight="1" thickBot="1" x14ac:dyDescent="0.3">
      <c r="A83" s="112" t="s">
        <v>73</v>
      </c>
      <c r="B83" s="113">
        <v>57548.396059999999</v>
      </c>
      <c r="C83" s="114">
        <v>60330</v>
      </c>
      <c r="D83" s="115">
        <v>64129</v>
      </c>
      <c r="E83" s="116">
        <v>67646</v>
      </c>
      <c r="F83" s="116">
        <v>68926</v>
      </c>
      <c r="G83" s="325">
        <v>72890</v>
      </c>
      <c r="H83" s="323">
        <v>75853</v>
      </c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7.25" customHeight="1" thickBot="1" x14ac:dyDescent="0.35">
      <c r="A84" s="120"/>
      <c r="B84" s="121"/>
      <c r="C84" s="121"/>
      <c r="D84" s="121"/>
      <c r="E84" s="121"/>
      <c r="F84" s="121"/>
      <c r="G84" s="121"/>
      <c r="H84" s="121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7.25" customHeight="1" thickBot="1" x14ac:dyDescent="0.3">
      <c r="A85" s="95" t="s">
        <v>94</v>
      </c>
      <c r="B85" s="96">
        <f>SUM(B86)</f>
        <v>0</v>
      </c>
      <c r="C85" s="97">
        <f t="shared" ref="C85:H85" si="32">SUM(C86)</f>
        <v>0</v>
      </c>
      <c r="D85" s="98">
        <f t="shared" si="32"/>
        <v>69872</v>
      </c>
      <c r="E85" s="99">
        <f t="shared" si="32"/>
        <v>74833</v>
      </c>
      <c r="F85" s="99">
        <f t="shared" si="32"/>
        <v>77734</v>
      </c>
      <c r="G85" s="197">
        <f t="shared" si="32"/>
        <v>81561</v>
      </c>
      <c r="H85" s="321">
        <f t="shared" si="32"/>
        <v>85742</v>
      </c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7.25" customHeight="1" thickBot="1" x14ac:dyDescent="0.3">
      <c r="A86" s="112" t="s">
        <v>72</v>
      </c>
      <c r="B86" s="106">
        <v>0</v>
      </c>
      <c r="C86" s="107">
        <v>0</v>
      </c>
      <c r="D86" s="108">
        <v>69872</v>
      </c>
      <c r="E86" s="109">
        <v>74833</v>
      </c>
      <c r="F86" s="109">
        <v>77734</v>
      </c>
      <c r="G86" s="324">
        <v>81561</v>
      </c>
      <c r="H86" s="322">
        <v>85742</v>
      </c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7.25" customHeight="1" thickBot="1" x14ac:dyDescent="0.35">
      <c r="A87" s="120"/>
      <c r="B87" s="121"/>
      <c r="C87" s="121"/>
      <c r="D87" s="121"/>
      <c r="E87" s="121"/>
      <c r="F87" s="121"/>
      <c r="G87" s="121"/>
      <c r="H87" s="121"/>
      <c r="I87" s="23"/>
      <c r="J87" s="23"/>
      <c r="K87" s="23"/>
      <c r="L87" s="23"/>
      <c r="M87" s="23"/>
      <c r="N87" s="23"/>
      <c r="O87" s="23"/>
      <c r="P87" s="23"/>
      <c r="Q87" s="23"/>
    </row>
    <row r="88" spans="1:17" s="125" customFormat="1" ht="14.25" customHeight="1" thickBot="1" x14ac:dyDescent="0.3">
      <c r="A88" s="100" t="s">
        <v>74</v>
      </c>
      <c r="B88" s="126">
        <v>971786.70429880952</v>
      </c>
      <c r="C88" s="127">
        <v>1036036</v>
      </c>
      <c r="D88" s="128">
        <v>1098278</v>
      </c>
      <c r="E88" s="129">
        <v>1139017</v>
      </c>
      <c r="F88" s="130">
        <v>1206197</v>
      </c>
      <c r="G88" s="127">
        <v>1272261</v>
      </c>
      <c r="H88" s="127">
        <v>1332114</v>
      </c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4.25" customHeight="1" thickBot="1" x14ac:dyDescent="0.3">
      <c r="B89" s="132"/>
      <c r="C89" s="132"/>
      <c r="D89" s="132"/>
      <c r="E89" s="132"/>
      <c r="F89" s="132"/>
      <c r="G89" s="132"/>
      <c r="H89" s="132"/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3.5" customHeight="1" x14ac:dyDescent="0.25">
      <c r="A90" s="134" t="s">
        <v>75</v>
      </c>
      <c r="B90" s="135">
        <f t="shared" ref="B90:H90" si="33">SUM(B91,B94,B97)</f>
        <v>1378410.6550499999</v>
      </c>
      <c r="C90" s="139">
        <f t="shared" si="33"/>
        <v>805688.82663999998</v>
      </c>
      <c r="D90" s="137">
        <f t="shared" si="33"/>
        <v>815263.022</v>
      </c>
      <c r="E90" s="136">
        <f t="shared" si="33"/>
        <v>821997.022</v>
      </c>
      <c r="F90" s="138">
        <f t="shared" si="33"/>
        <v>824942.022</v>
      </c>
      <c r="G90" s="136">
        <f t="shared" si="33"/>
        <v>826516.022</v>
      </c>
      <c r="H90" s="314">
        <f t="shared" si="33"/>
        <v>828474.022</v>
      </c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 x14ac:dyDescent="0.25">
      <c r="A91" s="140" t="s">
        <v>76</v>
      </c>
      <c r="B91" s="141">
        <f t="shared" ref="B91:H91" si="34">SUM(B92:B93)</f>
        <v>3.9778600000000002</v>
      </c>
      <c r="C91" s="142">
        <f t="shared" si="34"/>
        <v>4.8266400000000003</v>
      </c>
      <c r="D91" s="143">
        <f t="shared" si="34"/>
        <v>4.0220000000000002</v>
      </c>
      <c r="E91" s="144">
        <f t="shared" si="34"/>
        <v>4.0220000000000002</v>
      </c>
      <c r="F91" s="145">
        <f t="shared" si="34"/>
        <v>4.0220000000000002</v>
      </c>
      <c r="G91" s="144">
        <f t="shared" si="34"/>
        <v>4.0220000000000002</v>
      </c>
      <c r="H91" s="315">
        <f t="shared" si="34"/>
        <v>4.0220000000000002</v>
      </c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3.5" customHeight="1" x14ac:dyDescent="0.25">
      <c r="A92" s="146" t="s">
        <v>8</v>
      </c>
      <c r="B92" s="141">
        <v>-4.4139999999999999E-2</v>
      </c>
      <c r="C92" s="142">
        <v>0.80464000000000002</v>
      </c>
      <c r="D92" s="143">
        <v>0</v>
      </c>
      <c r="E92" s="144">
        <v>0</v>
      </c>
      <c r="F92" s="145">
        <v>0</v>
      </c>
      <c r="G92" s="144">
        <v>0</v>
      </c>
      <c r="H92" s="315">
        <v>0</v>
      </c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3.5" customHeight="1" x14ac:dyDescent="0.25">
      <c r="A93" s="146" t="s">
        <v>9</v>
      </c>
      <c r="B93" s="141">
        <v>4.0220000000000002</v>
      </c>
      <c r="C93" s="142">
        <v>4.0220000000000002</v>
      </c>
      <c r="D93" s="143">
        <v>4.0220000000000002</v>
      </c>
      <c r="E93" s="144">
        <v>4.0220000000000002</v>
      </c>
      <c r="F93" s="145">
        <v>4.0220000000000002</v>
      </c>
      <c r="G93" s="144">
        <v>4.0220000000000002</v>
      </c>
      <c r="H93" s="315">
        <v>4.0220000000000002</v>
      </c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3.5" customHeight="1" x14ac:dyDescent="0.25">
      <c r="A94" s="140" t="s">
        <v>77</v>
      </c>
      <c r="B94" s="153">
        <f t="shared" ref="B94:H94" si="35">SUM(B95:B96)</f>
        <v>1365449.67719</v>
      </c>
      <c r="C94" s="154">
        <f t="shared" si="35"/>
        <v>788928</v>
      </c>
      <c r="D94" s="155">
        <f t="shared" si="35"/>
        <v>793498</v>
      </c>
      <c r="E94" s="156">
        <f t="shared" si="35"/>
        <v>797801</v>
      </c>
      <c r="F94" s="156">
        <f t="shared" si="35"/>
        <v>799226</v>
      </c>
      <c r="G94" s="319">
        <f t="shared" si="35"/>
        <v>800083</v>
      </c>
      <c r="H94" s="317">
        <f t="shared" si="35"/>
        <v>801699</v>
      </c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3.5" customHeight="1" x14ac:dyDescent="0.25">
      <c r="A95" s="146" t="s">
        <v>8</v>
      </c>
      <c r="B95" s="141">
        <v>1006392.21819</v>
      </c>
      <c r="C95" s="142">
        <v>565187</v>
      </c>
      <c r="D95" s="143">
        <v>568338</v>
      </c>
      <c r="E95" s="144">
        <v>571382</v>
      </c>
      <c r="F95" s="145">
        <v>571930</v>
      </c>
      <c r="G95" s="144">
        <v>572058</v>
      </c>
      <c r="H95" s="315">
        <v>572873</v>
      </c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4.25" customHeight="1" x14ac:dyDescent="0.25">
      <c r="A96" s="146" t="s">
        <v>9</v>
      </c>
      <c r="B96" s="141">
        <v>359057.45899999997</v>
      </c>
      <c r="C96" s="142">
        <v>223741</v>
      </c>
      <c r="D96" s="143">
        <v>225160</v>
      </c>
      <c r="E96" s="144">
        <v>226419</v>
      </c>
      <c r="F96" s="145">
        <v>227296</v>
      </c>
      <c r="G96" s="144">
        <v>228025</v>
      </c>
      <c r="H96" s="315">
        <v>228826</v>
      </c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13.5" customHeight="1" x14ac:dyDescent="0.25">
      <c r="A97" s="152" t="s">
        <v>78</v>
      </c>
      <c r="B97" s="153">
        <f t="shared" ref="B97:H97" si="36">SUM(B98:B99)</f>
        <v>12957</v>
      </c>
      <c r="C97" s="154">
        <f t="shared" si="36"/>
        <v>16756</v>
      </c>
      <c r="D97" s="155">
        <f t="shared" si="36"/>
        <v>21761</v>
      </c>
      <c r="E97" s="156">
        <f t="shared" si="36"/>
        <v>24192</v>
      </c>
      <c r="F97" s="156">
        <f t="shared" si="36"/>
        <v>25712</v>
      </c>
      <c r="G97" s="319">
        <f t="shared" si="36"/>
        <v>26429</v>
      </c>
      <c r="H97" s="317">
        <f t="shared" si="36"/>
        <v>26771</v>
      </c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3.5" customHeight="1" x14ac:dyDescent="0.25">
      <c r="A98" s="146" t="s">
        <v>8</v>
      </c>
      <c r="B98" s="149">
        <v>7378</v>
      </c>
      <c r="C98" s="148">
        <v>8651</v>
      </c>
      <c r="D98" s="149">
        <v>12567</v>
      </c>
      <c r="E98" s="149">
        <v>14256</v>
      </c>
      <c r="F98" s="149">
        <v>15406</v>
      </c>
      <c r="G98" s="150">
        <v>15980</v>
      </c>
      <c r="H98" s="151">
        <v>16201</v>
      </c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13.5" customHeight="1" thickBot="1" x14ac:dyDescent="0.3">
      <c r="A99" s="159" t="s">
        <v>9</v>
      </c>
      <c r="B99" s="160">
        <v>5579</v>
      </c>
      <c r="C99" s="161">
        <v>8105</v>
      </c>
      <c r="D99" s="160">
        <v>9194</v>
      </c>
      <c r="E99" s="160">
        <v>9936</v>
      </c>
      <c r="F99" s="160">
        <v>10306</v>
      </c>
      <c r="G99" s="320">
        <v>10449</v>
      </c>
      <c r="H99" s="162">
        <v>10570</v>
      </c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13.5" customHeight="1" x14ac:dyDescent="0.25">
      <c r="A100" s="163" t="s">
        <v>79</v>
      </c>
      <c r="B100" s="133"/>
      <c r="C100" s="133"/>
      <c r="D100" s="133"/>
      <c r="E100" s="133"/>
      <c r="F100" s="133"/>
      <c r="G100" s="133"/>
      <c r="H100" s="133"/>
    </row>
    <row r="101" spans="1:17" ht="13.5" customHeight="1" x14ac:dyDescent="0.25">
      <c r="A101" s="163" t="s">
        <v>80</v>
      </c>
      <c r="B101" s="133"/>
      <c r="C101" s="133"/>
      <c r="D101" s="133"/>
      <c r="E101" s="133"/>
      <c r="F101" s="133"/>
      <c r="G101" s="133"/>
      <c r="H101" s="133"/>
    </row>
    <row r="102" spans="1:17" ht="13.5" customHeight="1" x14ac:dyDescent="0.25">
      <c r="A102" s="421" t="s">
        <v>81</v>
      </c>
      <c r="B102" s="421"/>
      <c r="C102" s="421"/>
      <c r="D102" s="421"/>
      <c r="E102" s="421"/>
      <c r="F102" s="421"/>
      <c r="G102" s="421"/>
      <c r="H102" s="1"/>
    </row>
    <row r="103" spans="1:17" ht="13.5" customHeight="1" x14ac:dyDescent="0.25">
      <c r="A103" s="421"/>
      <c r="B103" s="421"/>
      <c r="C103" s="421"/>
      <c r="D103" s="421"/>
      <c r="E103" s="421"/>
      <c r="F103" s="421"/>
      <c r="G103" s="421"/>
      <c r="H103" s="1"/>
    </row>
    <row r="104" spans="1:17" ht="13.5" customHeight="1" x14ac:dyDescent="0.25">
      <c r="A104" s="91"/>
      <c r="B104" s="164"/>
      <c r="C104" s="164"/>
      <c r="D104" s="164"/>
      <c r="E104" s="164"/>
      <c r="F104" s="164"/>
      <c r="G104" s="164"/>
      <c r="H104" s="164"/>
    </row>
    <row r="105" spans="1:17" ht="13.5" customHeight="1" x14ac:dyDescent="0.25">
      <c r="B105" s="164"/>
      <c r="C105" s="164"/>
      <c r="D105" s="164"/>
      <c r="E105" s="164"/>
      <c r="F105" s="164"/>
      <c r="G105" s="164"/>
      <c r="H105" s="164"/>
    </row>
    <row r="106" spans="1:17" ht="13.5" customHeight="1" x14ac:dyDescent="0.25">
      <c r="B106" s="164"/>
      <c r="C106" s="164"/>
      <c r="D106" s="164"/>
      <c r="E106" s="164"/>
      <c r="F106" s="164"/>
      <c r="G106" s="164"/>
      <c r="H106" s="164"/>
    </row>
    <row r="107" spans="1:17" ht="13.5" customHeight="1" x14ac:dyDescent="0.25">
      <c r="B107" s="164"/>
      <c r="C107" s="164"/>
      <c r="D107" s="164"/>
      <c r="E107" s="164"/>
      <c r="F107" s="164"/>
      <c r="G107" s="164"/>
      <c r="H107" s="164"/>
    </row>
    <row r="108" spans="1:17" ht="13.5" customHeight="1" x14ac:dyDescent="0.25">
      <c r="B108" s="164"/>
      <c r="C108" s="164"/>
      <c r="D108" s="164"/>
      <c r="E108" s="164"/>
      <c r="F108" s="164"/>
      <c r="G108" s="164"/>
      <c r="H108" s="164"/>
    </row>
    <row r="109" spans="1:17" ht="13.5" customHeight="1" x14ac:dyDescent="0.25">
      <c r="B109" s="164"/>
      <c r="C109" s="164"/>
      <c r="D109" s="164"/>
      <c r="E109" s="164"/>
      <c r="F109" s="164"/>
      <c r="G109" s="164"/>
      <c r="H109" s="164"/>
    </row>
    <row r="110" spans="1:17" ht="13.5" customHeight="1" x14ac:dyDescent="0.25">
      <c r="B110" s="164"/>
      <c r="C110" s="164"/>
      <c r="D110" s="164"/>
      <c r="E110" s="164"/>
      <c r="F110" s="164"/>
      <c r="G110" s="164"/>
      <c r="H110" s="164"/>
    </row>
    <row r="111" spans="1:17" ht="13.5" customHeight="1" x14ac:dyDescent="0.25">
      <c r="B111" s="164"/>
      <c r="C111" s="164"/>
      <c r="D111" s="164"/>
      <c r="E111" s="164"/>
      <c r="F111" s="164"/>
      <c r="G111" s="164"/>
      <c r="H111" s="164"/>
    </row>
    <row r="112" spans="1:17" ht="13.5" customHeight="1" x14ac:dyDescent="0.25">
      <c r="B112" s="164"/>
      <c r="C112" s="164"/>
      <c r="D112" s="164"/>
      <c r="E112" s="164"/>
      <c r="F112" s="164"/>
      <c r="G112" s="164"/>
      <c r="H112" s="164"/>
    </row>
    <row r="113" spans="2:8" ht="13.5" customHeight="1" x14ac:dyDescent="0.25">
      <c r="B113" s="164"/>
      <c r="C113" s="164"/>
      <c r="D113" s="164"/>
      <c r="E113" s="164"/>
      <c r="F113" s="164"/>
      <c r="G113" s="164"/>
      <c r="H113" s="164"/>
    </row>
    <row r="114" spans="2:8" ht="13.5" customHeight="1" x14ac:dyDescent="0.25">
      <c r="B114" s="164"/>
      <c r="C114" s="164"/>
      <c r="D114" s="164"/>
      <c r="E114" s="164"/>
      <c r="F114" s="164"/>
      <c r="G114" s="164"/>
      <c r="H114" s="164"/>
    </row>
    <row r="115" spans="2:8" ht="13.5" customHeight="1" x14ac:dyDescent="0.25">
      <c r="B115" s="164"/>
      <c r="C115" s="164"/>
      <c r="D115" s="164"/>
      <c r="E115" s="164"/>
      <c r="F115" s="164"/>
      <c r="G115" s="164"/>
      <c r="H115" s="164"/>
    </row>
    <row r="116" spans="2:8" ht="13.5" customHeight="1" x14ac:dyDescent="0.25">
      <c r="B116" s="164"/>
      <c r="C116" s="164"/>
      <c r="D116" s="164"/>
      <c r="E116" s="164"/>
      <c r="F116" s="164"/>
      <c r="G116" s="164"/>
      <c r="H116" s="164"/>
    </row>
    <row r="117" spans="2:8" ht="13.5" customHeight="1" x14ac:dyDescent="0.25">
      <c r="B117" s="164"/>
      <c r="C117" s="164"/>
      <c r="D117" s="164"/>
      <c r="E117" s="164"/>
      <c r="F117" s="164"/>
      <c r="G117" s="164"/>
      <c r="H117" s="164"/>
    </row>
    <row r="118" spans="2:8" ht="13.5" customHeight="1" x14ac:dyDescent="0.25">
      <c r="B118" s="164"/>
      <c r="C118" s="164"/>
      <c r="D118" s="164"/>
      <c r="E118" s="164"/>
      <c r="F118" s="164"/>
      <c r="G118" s="164"/>
      <c r="H118" s="164"/>
    </row>
    <row r="119" spans="2:8" ht="13.5" customHeight="1" x14ac:dyDescent="0.25">
      <c r="B119" s="164"/>
      <c r="C119" s="164"/>
      <c r="D119" s="164"/>
      <c r="E119" s="164"/>
      <c r="F119" s="164"/>
      <c r="G119" s="164"/>
      <c r="H119" s="164"/>
    </row>
    <row r="120" spans="2:8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8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8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8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8" ht="13.5" customHeight="1" x14ac:dyDescent="0.25">
      <c r="B124" s="164"/>
      <c r="C124" s="164"/>
      <c r="D124" s="164"/>
      <c r="E124" s="164"/>
      <c r="F124" s="164"/>
      <c r="G124" s="164"/>
      <c r="H124" s="164"/>
    </row>
    <row r="125" spans="2:8" ht="13.5" customHeight="1" x14ac:dyDescent="0.25">
      <c r="B125" s="164"/>
      <c r="C125" s="164"/>
      <c r="D125" s="164"/>
      <c r="E125" s="164"/>
      <c r="F125" s="164"/>
      <c r="G125" s="164"/>
      <c r="H125" s="164"/>
    </row>
    <row r="126" spans="2:8" ht="13.5" customHeight="1" x14ac:dyDescent="0.25">
      <c r="B126" s="164"/>
      <c r="C126" s="164"/>
      <c r="D126" s="164"/>
      <c r="E126" s="164"/>
      <c r="F126" s="164"/>
      <c r="G126" s="164"/>
      <c r="H126" s="164"/>
    </row>
    <row r="127" spans="2:8" ht="13.5" customHeight="1" x14ac:dyDescent="0.25">
      <c r="B127" s="164"/>
      <c r="C127" s="164"/>
      <c r="D127" s="164"/>
      <c r="E127" s="164"/>
      <c r="F127" s="164"/>
      <c r="G127" s="164"/>
      <c r="H127" s="164"/>
    </row>
    <row r="128" spans="2:8" ht="13.5" customHeight="1" x14ac:dyDescent="0.25">
      <c r="B128" s="164"/>
      <c r="C128" s="164"/>
      <c r="D128" s="164"/>
      <c r="E128" s="164"/>
      <c r="F128" s="164"/>
      <c r="G128" s="164"/>
      <c r="H128" s="164"/>
    </row>
    <row r="129" spans="2:8" ht="13.5" customHeight="1" x14ac:dyDescent="0.25">
      <c r="B129" s="164"/>
      <c r="C129" s="164"/>
      <c r="D129" s="164"/>
      <c r="E129" s="164"/>
      <c r="F129" s="164"/>
      <c r="G129" s="164"/>
      <c r="H129" s="164"/>
    </row>
    <row r="130" spans="2:8" ht="13.5" customHeight="1" x14ac:dyDescent="0.25">
      <c r="B130" s="164"/>
      <c r="C130" s="164"/>
      <c r="D130" s="164"/>
      <c r="E130" s="164"/>
      <c r="F130" s="164"/>
      <c r="G130" s="164"/>
      <c r="H130" s="164"/>
    </row>
    <row r="131" spans="2:8" ht="13.5" customHeight="1" x14ac:dyDescent="0.25">
      <c r="B131" s="164"/>
      <c r="C131" s="164"/>
      <c r="D131" s="164"/>
      <c r="E131" s="164"/>
      <c r="F131" s="164"/>
      <c r="G131" s="164"/>
      <c r="H131" s="164"/>
    </row>
    <row r="132" spans="2:8" ht="13.5" customHeight="1" x14ac:dyDescent="0.25">
      <c r="B132" s="164"/>
      <c r="C132" s="164"/>
      <c r="D132" s="164"/>
      <c r="E132" s="164"/>
      <c r="F132" s="164"/>
      <c r="G132" s="164"/>
      <c r="H132" s="164"/>
    </row>
    <row r="133" spans="2:8" ht="13.5" customHeight="1" x14ac:dyDescent="0.25">
      <c r="B133" s="164"/>
      <c r="C133" s="164"/>
      <c r="D133" s="164"/>
      <c r="E133" s="164"/>
      <c r="F133" s="164"/>
      <c r="G133" s="164"/>
      <c r="H133" s="164"/>
    </row>
    <row r="134" spans="2:8" ht="13.5" customHeight="1" x14ac:dyDescent="0.25">
      <c r="B134" s="164"/>
      <c r="C134" s="164"/>
      <c r="D134" s="164"/>
      <c r="E134" s="164"/>
      <c r="F134" s="164"/>
      <c r="G134" s="164"/>
      <c r="H134" s="164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>
        <v>0</v>
      </c>
      <c r="C173" s="164">
        <v>0</v>
      </c>
      <c r="D173" s="164">
        <v>0</v>
      </c>
      <c r="E173" s="164">
        <v>0</v>
      </c>
      <c r="F173" s="164">
        <v>0</v>
      </c>
      <c r="G173" s="164">
        <v>0</v>
      </c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/>
      <c r="C177" s="164"/>
      <c r="D177" s="164"/>
      <c r="E177" s="164"/>
      <c r="F177" s="164"/>
      <c r="G177" s="164"/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</sheetData>
  <mergeCells count="2">
    <mergeCell ref="A102:G103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90"/>
  <sheetViews>
    <sheetView showGridLines="0" zoomScaleNormal="100" workbookViewId="0">
      <pane xSplit="1" ySplit="4" topLeftCell="B5" activePane="bottomRight" state="frozen"/>
      <selection activeCell="K44" sqref="K44"/>
      <selection pane="topRight" activeCell="K44" sqref="K44"/>
      <selection pane="bottomLeft" activeCell="K44" sqref="K44"/>
      <selection pane="bottomRight" activeCell="J12" sqref="J12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97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4" t="s">
        <v>1</v>
      </c>
      <c r="B3" s="428" t="s">
        <v>4</v>
      </c>
      <c r="C3" s="429"/>
      <c r="D3" s="429"/>
      <c r="E3" s="430"/>
      <c r="H3" s="11" t="s">
        <v>1</v>
      </c>
      <c r="I3" s="431" t="s">
        <v>4</v>
      </c>
      <c r="J3" s="432"/>
      <c r="K3" s="432"/>
      <c r="L3" s="433"/>
    </row>
    <row r="4" spans="1:22" ht="14.25" customHeight="1" thickBot="1" x14ac:dyDescent="0.3">
      <c r="A4" s="255"/>
      <c r="B4" s="15">
        <v>2025</v>
      </c>
      <c r="C4" s="15">
        <v>2026</v>
      </c>
      <c r="D4" s="15">
        <v>2027</v>
      </c>
      <c r="E4" s="14">
        <v>2028</v>
      </c>
      <c r="H4" s="12"/>
      <c r="I4" s="15">
        <v>2025</v>
      </c>
      <c r="J4" s="15">
        <v>2026</v>
      </c>
      <c r="K4" s="15">
        <v>2027</v>
      </c>
      <c r="L4" s="14">
        <v>2028</v>
      </c>
    </row>
    <row r="5" spans="1:22" ht="13.5" customHeight="1" x14ac:dyDescent="0.25">
      <c r="A5" s="256" t="s">
        <v>5</v>
      </c>
      <c r="B5" s="20">
        <f>B6+B12+B17+B16</f>
        <v>10637774</v>
      </c>
      <c r="C5" s="20">
        <f t="shared" ref="C5:E5" si="0">C6+C12+C17+C16</f>
        <v>11278645</v>
      </c>
      <c r="D5" s="20">
        <f t="shared" si="0"/>
        <v>11690731</v>
      </c>
      <c r="E5" s="18">
        <f t="shared" si="0"/>
        <v>12220347</v>
      </c>
      <c r="F5" s="21"/>
      <c r="H5" s="16" t="s">
        <v>5</v>
      </c>
      <c r="I5" s="20">
        <f>I6+I12+I17+I16</f>
        <v>-323053.4515854026</v>
      </c>
      <c r="J5" s="20">
        <f t="shared" ref="J5:L5" si="1">J6+J12+J17+J16</f>
        <v>-417322</v>
      </c>
      <c r="K5" s="20">
        <f t="shared" si="1"/>
        <v>-379799</v>
      </c>
      <c r="L5" s="18">
        <f t="shared" si="1"/>
        <v>-295081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57" t="s">
        <v>6</v>
      </c>
      <c r="B6" s="28">
        <f t="shared" ref="B6:E6" si="2">B7+B8</f>
        <v>5139253</v>
      </c>
      <c r="C6" s="28">
        <f t="shared" si="2"/>
        <v>5535728</v>
      </c>
      <c r="D6" s="28">
        <f t="shared" si="2"/>
        <v>5762415</v>
      </c>
      <c r="E6" s="26">
        <f t="shared" si="2"/>
        <v>6025211</v>
      </c>
      <c r="F6" s="21"/>
      <c r="H6" s="24" t="s">
        <v>7</v>
      </c>
      <c r="I6" s="28">
        <f t="shared" ref="I6:L6" si="3">I7+I8</f>
        <v>28547.804674597457</v>
      </c>
      <c r="J6" s="28">
        <f t="shared" si="3"/>
        <v>22361</v>
      </c>
      <c r="K6" s="28">
        <f t="shared" si="3"/>
        <v>16577</v>
      </c>
      <c r="L6" s="26">
        <f t="shared" si="3"/>
        <v>47324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58" t="s">
        <v>8</v>
      </c>
      <c r="B7" s="33">
        <v>4956740</v>
      </c>
      <c r="C7" s="33">
        <v>5328097</v>
      </c>
      <c r="D7" s="34">
        <v>5559049</v>
      </c>
      <c r="E7" s="35">
        <v>5818373</v>
      </c>
      <c r="F7" s="21"/>
      <c r="H7" s="29" t="s">
        <v>8</v>
      </c>
      <c r="I7" s="33">
        <f>ESA2010_jun26!C7-A_RVS_26_28!B7</f>
        <v>25005.804674597457</v>
      </c>
      <c r="J7" s="33">
        <f>ESA2010_jun26!D7-A_RVS_26_28!C7</f>
        <v>18227</v>
      </c>
      <c r="K7" s="33">
        <f>ESA2010_jun26!E7-A_RVS_26_28!D7</f>
        <v>9660</v>
      </c>
      <c r="L7" s="26">
        <f>ESA2010_jun26!F7-A_RVS_26_28!E7</f>
        <v>38481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58" t="s">
        <v>9</v>
      </c>
      <c r="B8" s="33">
        <v>182513</v>
      </c>
      <c r="C8" s="33">
        <v>207631</v>
      </c>
      <c r="D8" s="34">
        <v>203366</v>
      </c>
      <c r="E8" s="35">
        <v>206838</v>
      </c>
      <c r="F8" s="21"/>
      <c r="H8" s="29" t="s">
        <v>9</v>
      </c>
      <c r="I8" s="33">
        <f>ESA2010_jun26!C8-A_RVS_26_28!B8</f>
        <v>3542</v>
      </c>
      <c r="J8" s="33">
        <f>ESA2010_jun26!D8-A_RVS_26_28!C8</f>
        <v>4134</v>
      </c>
      <c r="K8" s="33">
        <f>ESA2010_jun26!E8-A_RVS_26_28!D8</f>
        <v>6917</v>
      </c>
      <c r="L8" s="26">
        <f>ESA2010_jun26!F8-A_RVS_26_28!E8</f>
        <v>8843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59" t="s">
        <v>10</v>
      </c>
      <c r="B9" s="33">
        <v>1698948</v>
      </c>
      <c r="C9" s="33">
        <v>1753121</v>
      </c>
      <c r="D9" s="34">
        <v>1863263</v>
      </c>
      <c r="E9" s="35">
        <v>1918290</v>
      </c>
      <c r="F9" s="21"/>
      <c r="H9" s="36" t="s">
        <v>10</v>
      </c>
      <c r="I9" s="33">
        <f>ESA2010_jun26!C9-A_RVS_26_28!B9</f>
        <v>34858.047944597434</v>
      </c>
      <c r="J9" s="33">
        <f>ESA2010_jun26!D9-A_RVS_26_28!C9</f>
        <v>40876</v>
      </c>
      <c r="K9" s="33">
        <f>ESA2010_jun26!E9-A_RVS_26_28!D9</f>
        <v>-51207</v>
      </c>
      <c r="L9" s="26">
        <f>ESA2010_jun26!F9-A_RVS_26_28!E9</f>
        <v>-8148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59" t="s">
        <v>11</v>
      </c>
      <c r="B10" s="33">
        <v>2241731</v>
      </c>
      <c r="C10" s="33">
        <v>2456951</v>
      </c>
      <c r="D10" s="34">
        <v>2532537</v>
      </c>
      <c r="E10" s="35">
        <v>2667485</v>
      </c>
      <c r="F10" s="21"/>
      <c r="H10" s="36" t="s">
        <v>11</v>
      </c>
      <c r="I10" s="33">
        <f>ESA2010_jun26!C10-A_RVS_26_28!B10</f>
        <v>-4109.9429899998941</v>
      </c>
      <c r="J10" s="33">
        <f>ESA2010_jun26!D10-A_RVS_26_28!C10</f>
        <v>-12023</v>
      </c>
      <c r="K10" s="33">
        <f>ESA2010_jun26!E10-A_RVS_26_28!D10</f>
        <v>22286</v>
      </c>
      <c r="L10" s="26">
        <f>ESA2010_jun26!F10-A_RVS_26_28!E10</f>
        <v>13035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59" t="s">
        <v>12</v>
      </c>
      <c r="B11" s="33">
        <v>1198574</v>
      </c>
      <c r="C11" s="33">
        <v>1325656</v>
      </c>
      <c r="D11" s="34">
        <v>1366615</v>
      </c>
      <c r="E11" s="35">
        <v>1439436</v>
      </c>
      <c r="F11" s="21"/>
      <c r="H11" s="36" t="s">
        <v>12</v>
      </c>
      <c r="I11" s="33">
        <f>ESA2010_jun26!C11-A_RVS_26_28!B11</f>
        <v>-2200.3002800000831</v>
      </c>
      <c r="J11" s="33">
        <f>ESA2010_jun26!D11-A_RVS_26_28!C11</f>
        <v>-6492</v>
      </c>
      <c r="K11" s="33">
        <f>ESA2010_jun26!E11-A_RVS_26_28!D11</f>
        <v>45498</v>
      </c>
      <c r="L11" s="26">
        <f>ESA2010_jun26!F11-A_RVS_26_28!E11</f>
        <v>42437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57" t="s">
        <v>13</v>
      </c>
      <c r="B12" s="33">
        <v>4909045</v>
      </c>
      <c r="C12" s="33">
        <v>5183544</v>
      </c>
      <c r="D12" s="34">
        <v>5320786</v>
      </c>
      <c r="E12" s="35">
        <v>5582694</v>
      </c>
      <c r="F12" s="21"/>
      <c r="H12" s="24" t="s">
        <v>14</v>
      </c>
      <c r="I12" s="33">
        <f>ESA2010_jun26!C12-A_RVS_26_28!B12</f>
        <v>-360276</v>
      </c>
      <c r="J12" s="33">
        <f>ESA2010_jun26!D12-A_RVS_26_28!C12</f>
        <v>-458658</v>
      </c>
      <c r="K12" s="33">
        <f>ESA2010_jun26!E12-A_RVS_26_28!D12</f>
        <v>-416884</v>
      </c>
      <c r="L12" s="26">
        <f>ESA2010_jun26!F12-A_RVS_26_28!E12</f>
        <v>-366990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59" t="s">
        <v>10</v>
      </c>
      <c r="B13" s="279">
        <v>4909045</v>
      </c>
      <c r="C13" s="279">
        <v>5183544</v>
      </c>
      <c r="D13" s="279">
        <v>5320786</v>
      </c>
      <c r="E13" s="35">
        <v>5582694</v>
      </c>
      <c r="F13" s="21"/>
      <c r="H13" s="259" t="s">
        <v>10</v>
      </c>
      <c r="I13" s="33">
        <f>ESA2010_jun26!C13-A_RVS_26_28!B13</f>
        <v>-360276</v>
      </c>
      <c r="J13" s="33">
        <f>ESA2010_jun26!D13-A_RVS_26_28!C13</f>
        <v>-458658</v>
      </c>
      <c r="K13" s="33">
        <f>ESA2010_jun26!E13-A_RVS_26_28!D13</f>
        <v>-416884</v>
      </c>
      <c r="L13" s="26">
        <f>ESA2010_jun26!F13-A_RVS_26_28!E13</f>
        <v>-366990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59" t="s">
        <v>11</v>
      </c>
      <c r="B14" s="279">
        <v>0</v>
      </c>
      <c r="C14" s="279">
        <v>0</v>
      </c>
      <c r="D14" s="34">
        <v>0</v>
      </c>
      <c r="E14" s="35">
        <v>0</v>
      </c>
      <c r="F14" s="21"/>
      <c r="H14" s="259" t="s">
        <v>11</v>
      </c>
      <c r="I14" s="33">
        <f>ESA2010_jun26!C14-A_RVS_26_28!B14</f>
        <v>0</v>
      </c>
      <c r="J14" s="33">
        <f>ESA2010_jun26!D14-A_RVS_26_28!C14</f>
        <v>0</v>
      </c>
      <c r="K14" s="33">
        <f>ESA2010_jun26!E14-A_RVS_26_28!D14</f>
        <v>0</v>
      </c>
      <c r="L14" s="26">
        <f>ESA2010_jun26!F14-A_RVS_26_28!E14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59" t="s">
        <v>12</v>
      </c>
      <c r="B15" s="279">
        <v>0</v>
      </c>
      <c r="C15" s="279">
        <v>0</v>
      </c>
      <c r="D15" s="34">
        <v>0</v>
      </c>
      <c r="E15" s="35">
        <v>0</v>
      </c>
      <c r="F15" s="21"/>
      <c r="H15" s="259" t="s">
        <v>12</v>
      </c>
      <c r="I15" s="33">
        <f>ESA2010_jun26!C15-A_RVS_26_28!B15</f>
        <v>0</v>
      </c>
      <c r="J15" s="33">
        <f>ESA2010_jun26!D15-A_RVS_26_28!C15</f>
        <v>0</v>
      </c>
      <c r="K15" s="33">
        <f>ESA2010_jun26!E15-A_RVS_26_28!D15</f>
        <v>0</v>
      </c>
      <c r="L15" s="26">
        <f>ESA2010_jun26!F15-A_RVS_26_28!E15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57" t="s">
        <v>95</v>
      </c>
      <c r="B16" s="279">
        <v>48500</v>
      </c>
      <c r="C16" s="279">
        <v>48500</v>
      </c>
      <c r="D16" s="34">
        <v>48500</v>
      </c>
      <c r="E16" s="35">
        <v>48500</v>
      </c>
      <c r="F16" s="21"/>
      <c r="H16" s="257" t="s">
        <v>95</v>
      </c>
      <c r="I16" s="33">
        <f>ESA2010_jun26!C16-A_RVS_26_28!B16</f>
        <v>0</v>
      </c>
      <c r="J16" s="33">
        <f>ESA2010_jun26!D16-A_RVS_26_28!C16</f>
        <v>0</v>
      </c>
      <c r="K16" s="33">
        <f>ESA2010_jun26!E16-A_RVS_26_28!D16</f>
        <v>0</v>
      </c>
      <c r="L16" s="26">
        <f>ESA2010_jun26!F16-A_RVS_26_28!E16</f>
        <v>0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57" t="s">
        <v>15</v>
      </c>
      <c r="B17" s="40">
        <v>540976</v>
      </c>
      <c r="C17" s="40">
        <v>510873</v>
      </c>
      <c r="D17" s="28">
        <v>559030</v>
      </c>
      <c r="E17" s="26">
        <v>563942</v>
      </c>
      <c r="F17" s="21"/>
      <c r="H17" s="24" t="s">
        <v>15</v>
      </c>
      <c r="I17" s="33">
        <f>ESA2010_jun26!C17-A_RVS_26_28!B17</f>
        <v>8674.7437399999471</v>
      </c>
      <c r="J17" s="33">
        <f>ESA2010_jun26!D17-A_RVS_26_28!C17</f>
        <v>18975</v>
      </c>
      <c r="K17" s="33">
        <f>ESA2010_jun26!E17-A_RVS_26_28!D17</f>
        <v>20508</v>
      </c>
      <c r="L17" s="26">
        <f>ESA2010_jun26!F17-A_RVS_26_28!E17</f>
        <v>24585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0" t="s">
        <v>16</v>
      </c>
      <c r="B18" s="45">
        <f t="shared" ref="B18:E18" si="4">B19+B20</f>
        <v>13751884</v>
      </c>
      <c r="C18" s="45">
        <f t="shared" si="4"/>
        <v>14466303</v>
      </c>
      <c r="D18" s="45">
        <f t="shared" si="4"/>
        <v>14514127</v>
      </c>
      <c r="E18" s="43">
        <f t="shared" si="4"/>
        <v>14976129</v>
      </c>
      <c r="F18" s="21"/>
      <c r="H18" s="41" t="s">
        <v>16</v>
      </c>
      <c r="I18" s="45">
        <f t="shared" ref="I18:L18" si="5">I19+I20</f>
        <v>-289249.19904999953</v>
      </c>
      <c r="J18" s="45">
        <f t="shared" si="5"/>
        <v>-192026</v>
      </c>
      <c r="K18" s="45">
        <f t="shared" si="5"/>
        <v>2473</v>
      </c>
      <c r="L18" s="43">
        <f t="shared" si="5"/>
        <v>116312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57" t="s">
        <v>17</v>
      </c>
      <c r="B19" s="40">
        <v>10995764</v>
      </c>
      <c r="C19" s="40">
        <v>11592464</v>
      </c>
      <c r="D19" s="28">
        <v>11569843</v>
      </c>
      <c r="E19" s="26">
        <v>11912021</v>
      </c>
      <c r="F19" s="46"/>
      <c r="H19" s="24" t="s">
        <v>17</v>
      </c>
      <c r="I19" s="33">
        <f>ESA2010_jun26!C19-A_RVS_26_28!B19</f>
        <v>-292069.03347999975</v>
      </c>
      <c r="J19" s="33">
        <f>ESA2010_jun26!D19-A_RVS_26_28!C19</f>
        <v>-191953</v>
      </c>
      <c r="K19" s="33">
        <f>ESA2010_jun26!E19-A_RVS_26_28!D19</f>
        <v>36635</v>
      </c>
      <c r="L19" s="26">
        <f>ESA2010_jun26!F19-A_RVS_26_28!E19</f>
        <v>169837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57" t="s">
        <v>18</v>
      </c>
      <c r="B20" s="33">
        <f>SUM(B21:B29)</f>
        <v>2756120</v>
      </c>
      <c r="C20" s="33">
        <f t="shared" ref="C20:E20" si="6">SUM(C21:C29)</f>
        <v>2873839</v>
      </c>
      <c r="D20" s="28">
        <f t="shared" si="6"/>
        <v>2944284</v>
      </c>
      <c r="E20" s="26">
        <f t="shared" si="6"/>
        <v>3064108</v>
      </c>
      <c r="F20" s="21"/>
      <c r="H20" s="24" t="s">
        <v>18</v>
      </c>
      <c r="I20" s="33">
        <f>SUM(I21:I29)</f>
        <v>2819.8344300002013</v>
      </c>
      <c r="J20" s="33">
        <f t="shared" ref="J20:L20" si="7">SUM(J21:J29)</f>
        <v>-73</v>
      </c>
      <c r="K20" s="28">
        <f t="shared" si="7"/>
        <v>-34162</v>
      </c>
      <c r="L20" s="26">
        <f t="shared" si="7"/>
        <v>-53525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58" t="s">
        <v>19</v>
      </c>
      <c r="B21" s="40">
        <v>1360728</v>
      </c>
      <c r="C21" s="40">
        <v>1374975</v>
      </c>
      <c r="D21" s="28">
        <v>1391347</v>
      </c>
      <c r="E21" s="26">
        <v>1413454</v>
      </c>
      <c r="F21" s="21"/>
      <c r="H21" s="29" t="s">
        <v>19</v>
      </c>
      <c r="I21" s="33">
        <f>ESA2010_jun26!C21-A_RVS_26_28!B21</f>
        <v>-3239.0564299998805</v>
      </c>
      <c r="J21" s="33">
        <f>ESA2010_jun26!D21-A_RVS_26_28!C21</f>
        <v>14231</v>
      </c>
      <c r="K21" s="33">
        <f>ESA2010_jun26!E21-A_RVS_26_28!D21</f>
        <v>-7808</v>
      </c>
      <c r="L21" s="26">
        <f>ESA2010_jun26!F21-A_RVS_26_28!E21</f>
        <v>-7093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58" t="s">
        <v>20</v>
      </c>
      <c r="B22" s="40">
        <v>252622</v>
      </c>
      <c r="C22" s="40">
        <v>251083</v>
      </c>
      <c r="D22" s="28">
        <v>250856</v>
      </c>
      <c r="E22" s="26">
        <v>250047</v>
      </c>
      <c r="F22" s="21"/>
      <c r="H22" s="29" t="s">
        <v>20</v>
      </c>
      <c r="I22" s="33">
        <f>ESA2010_jun26!C22-A_RVS_26_28!B22</f>
        <v>-7826.6958699999668</v>
      </c>
      <c r="J22" s="33">
        <f>ESA2010_jun26!D22-A_RVS_26_28!C22</f>
        <v>-8748</v>
      </c>
      <c r="K22" s="33">
        <f>ESA2010_jun26!E22-A_RVS_26_28!D22</f>
        <v>-9399</v>
      </c>
      <c r="L22" s="26">
        <f>ESA2010_jun26!F22-A_RVS_26_28!E22</f>
        <v>-9773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58" t="s">
        <v>21</v>
      </c>
      <c r="B23" s="40">
        <v>54771</v>
      </c>
      <c r="C23" s="40">
        <v>54378</v>
      </c>
      <c r="D23" s="28">
        <v>54268</v>
      </c>
      <c r="E23" s="26">
        <v>54033</v>
      </c>
      <c r="F23" s="21"/>
      <c r="H23" s="29" t="s">
        <v>21</v>
      </c>
      <c r="I23" s="33">
        <f>ESA2010_jun26!C23-A_RVS_26_28!B23</f>
        <v>-1684.7527500000142</v>
      </c>
      <c r="J23" s="33">
        <f>ESA2010_jun26!D23-A_RVS_26_28!C23</f>
        <v>-1882</v>
      </c>
      <c r="K23" s="33">
        <f>ESA2010_jun26!E23-A_RVS_26_28!D23</f>
        <v>-2021</v>
      </c>
      <c r="L23" s="26">
        <f>ESA2010_jun26!F23-A_RVS_26_28!E23</f>
        <v>-2100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58" t="s">
        <v>22</v>
      </c>
      <c r="B24" s="40">
        <v>4812</v>
      </c>
      <c r="C24" s="40">
        <v>4766</v>
      </c>
      <c r="D24" s="28">
        <v>4744</v>
      </c>
      <c r="E24" s="26">
        <v>4711</v>
      </c>
      <c r="F24" s="21"/>
      <c r="H24" s="29" t="s">
        <v>22</v>
      </c>
      <c r="I24" s="33">
        <f>ESA2010_jun26!C24-A_RVS_26_28!B24</f>
        <v>-127.75976999999966</v>
      </c>
      <c r="J24" s="33">
        <f>ESA2010_jun26!D24-A_RVS_26_28!C24</f>
        <v>-5</v>
      </c>
      <c r="K24" s="33">
        <f>ESA2010_jun26!E24-A_RVS_26_28!D24</f>
        <v>-18</v>
      </c>
      <c r="L24" s="26">
        <f>ESA2010_jun26!F24-A_RVS_26_28!E24</f>
        <v>-26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58" t="s">
        <v>23</v>
      </c>
      <c r="B25" s="40">
        <v>951977</v>
      </c>
      <c r="C25" s="40">
        <v>1056303</v>
      </c>
      <c r="D25" s="28">
        <v>1108904</v>
      </c>
      <c r="E25" s="26">
        <v>1206148</v>
      </c>
      <c r="F25" s="21"/>
      <c r="H25" s="29" t="s">
        <v>23</v>
      </c>
      <c r="I25" s="33">
        <f>ESA2010_jun26!C25-A_RVS_26_28!B25</f>
        <v>15902.562630000059</v>
      </c>
      <c r="J25" s="33">
        <f>ESA2010_jun26!D25-A_RVS_26_28!C25</f>
        <v>-3079</v>
      </c>
      <c r="K25" s="33">
        <f>ESA2010_jun26!E25-A_RVS_26_28!D25</f>
        <v>-11095</v>
      </c>
      <c r="L25" s="26">
        <f>ESA2010_jun26!F25-A_RVS_26_28!E25</f>
        <v>-30441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58" t="s">
        <v>24</v>
      </c>
      <c r="B26" s="40">
        <v>12363</v>
      </c>
      <c r="C26" s="40">
        <v>12437</v>
      </c>
      <c r="D26" s="28">
        <v>12575</v>
      </c>
      <c r="E26" s="26">
        <v>12686</v>
      </c>
      <c r="F26" s="21"/>
      <c r="H26" s="29" t="s">
        <v>24</v>
      </c>
      <c r="I26" s="33">
        <f>ESA2010_jun26!C26-A_RVS_26_28!B26</f>
        <v>-972.72545999999784</v>
      </c>
      <c r="J26" s="33">
        <f>ESA2010_jun26!D26-A_RVS_26_28!C26</f>
        <v>-1513</v>
      </c>
      <c r="K26" s="33">
        <f>ESA2010_jun26!E26-A_RVS_26_28!D26</f>
        <v>-3818</v>
      </c>
      <c r="L26" s="26">
        <f>ESA2010_jun26!F26-A_RVS_26_28!E26</f>
        <v>-3875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58" t="s">
        <v>25</v>
      </c>
      <c r="B27" s="40">
        <v>21002</v>
      </c>
      <c r="C27" s="40">
        <v>21183</v>
      </c>
      <c r="D27" s="28">
        <v>21475</v>
      </c>
      <c r="E27" s="26">
        <v>21723</v>
      </c>
      <c r="F27" s="21"/>
      <c r="H27" s="29" t="s">
        <v>25</v>
      </c>
      <c r="I27" s="33">
        <f>ESA2010_jun26!C27-A_RVS_26_28!B27</f>
        <v>-199.22993999999744</v>
      </c>
      <c r="J27" s="33">
        <f>ESA2010_jun26!D27-A_RVS_26_28!C27</f>
        <v>-284</v>
      </c>
      <c r="K27" s="33">
        <f>ESA2010_jun26!E27-A_RVS_26_28!D27</f>
        <v>-346</v>
      </c>
      <c r="L27" s="26">
        <f>ESA2010_jun26!F27-A_RVS_26_28!E27</f>
        <v>-386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58" t="s">
        <v>26</v>
      </c>
      <c r="B28" s="40">
        <v>180</v>
      </c>
      <c r="C28" s="40">
        <v>154</v>
      </c>
      <c r="D28" s="28">
        <v>134</v>
      </c>
      <c r="E28" s="26">
        <v>117</v>
      </c>
      <c r="F28" s="21"/>
      <c r="H28" s="29" t="s">
        <v>26</v>
      </c>
      <c r="I28" s="33">
        <f>ESA2010_jun26!C28-A_RVS_26_28!B28</f>
        <v>28.315179999999998</v>
      </c>
      <c r="J28" s="33">
        <f>ESA2010_jun26!D28-A_RVS_26_28!C28</f>
        <v>67</v>
      </c>
      <c r="K28" s="33">
        <f>ESA2010_jun26!E28-A_RVS_26_28!D28</f>
        <v>57</v>
      </c>
      <c r="L28" s="26">
        <f>ESA2010_jun26!F28-A_RVS_26_28!E28</f>
        <v>50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58" t="s">
        <v>91</v>
      </c>
      <c r="B29" s="40">
        <v>97665</v>
      </c>
      <c r="C29" s="40">
        <v>98560</v>
      </c>
      <c r="D29" s="28">
        <v>99981</v>
      </c>
      <c r="E29" s="26">
        <v>101189</v>
      </c>
      <c r="F29" s="21"/>
      <c r="H29" s="258" t="s">
        <v>91</v>
      </c>
      <c r="I29" s="33">
        <f>ESA2010_jun26!C29-A_RVS_26_28!B29</f>
        <v>939.17684000000008</v>
      </c>
      <c r="J29" s="33">
        <f>ESA2010_jun26!D29-A_RVS_26_28!C29</f>
        <v>1140</v>
      </c>
      <c r="K29" s="33">
        <f>ESA2010_jun26!E29-A_RVS_26_28!D29</f>
        <v>286</v>
      </c>
      <c r="L29" s="26">
        <f>ESA2010_jun26!F29-A_RVS_26_28!E29</f>
        <v>119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0" t="s">
        <v>27</v>
      </c>
      <c r="B30" s="45">
        <f t="shared" ref="B30:E30" si="8">SUM(B31:B34)</f>
        <v>44901</v>
      </c>
      <c r="C30" s="45">
        <f t="shared" si="8"/>
        <v>48573</v>
      </c>
      <c r="D30" s="45">
        <f t="shared" si="8"/>
        <v>51421</v>
      </c>
      <c r="E30" s="43">
        <f t="shared" si="8"/>
        <v>54286</v>
      </c>
      <c r="F30" s="21"/>
      <c r="H30" s="41" t="s">
        <v>27</v>
      </c>
      <c r="I30" s="45">
        <f t="shared" ref="I30:L30" si="9">SUM(I31:I34)</f>
        <v>518.76073000000179</v>
      </c>
      <c r="J30" s="45">
        <f t="shared" si="9"/>
        <v>-6630</v>
      </c>
      <c r="K30" s="45">
        <f t="shared" si="9"/>
        <v>-6840</v>
      </c>
      <c r="L30" s="43">
        <f t="shared" si="9"/>
        <v>-7824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57" t="s">
        <v>28</v>
      </c>
      <c r="B31" s="40">
        <v>50</v>
      </c>
      <c r="C31" s="40">
        <v>0</v>
      </c>
      <c r="D31" s="28">
        <v>0</v>
      </c>
      <c r="E31" s="26">
        <v>0</v>
      </c>
      <c r="F31" s="21"/>
      <c r="H31" s="24" t="s">
        <v>28</v>
      </c>
      <c r="I31" s="33">
        <f>ESA2010_jun26!C31-A_RVS_26_28!B31</f>
        <v>-0.30530000000000257</v>
      </c>
      <c r="J31" s="33">
        <f>ESA2010_jun26!D31-A_RVS_26_28!C31</f>
        <v>20</v>
      </c>
      <c r="K31" s="33">
        <f>ESA2010_jun26!E31-A_RVS_26_28!D31</f>
        <v>0</v>
      </c>
      <c r="L31" s="26">
        <f>ESA2010_jun26!F31-A_RVS_26_28!E31</f>
        <v>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57" t="s">
        <v>29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29</v>
      </c>
      <c r="I32" s="33">
        <f>ESA2010_jun26!C32-A_RVS_26_28!B32</f>
        <v>0</v>
      </c>
      <c r="J32" s="33">
        <f>ESA2010_jun26!D32-A_RVS_26_28!C32</f>
        <v>0</v>
      </c>
      <c r="K32" s="33">
        <f>ESA2010_jun26!E32-A_RVS_26_28!D32</f>
        <v>0</v>
      </c>
      <c r="L32" s="26">
        <f>ESA2010_jun26!F32-A_RVS_26_28!E32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57" t="s">
        <v>30</v>
      </c>
      <c r="B33" s="40">
        <v>44851</v>
      </c>
      <c r="C33" s="40">
        <v>48573</v>
      </c>
      <c r="D33" s="28">
        <v>51421</v>
      </c>
      <c r="E33" s="26">
        <v>54286</v>
      </c>
      <c r="F33" s="21"/>
      <c r="H33" s="24" t="s">
        <v>30</v>
      </c>
      <c r="I33" s="33">
        <f>ESA2010_jun26!C33-A_RVS_26_28!B33</f>
        <v>519.06603000000177</v>
      </c>
      <c r="J33" s="33">
        <f>ESA2010_jun26!D33-A_RVS_26_28!C33</f>
        <v>-6650</v>
      </c>
      <c r="K33" s="33">
        <f>ESA2010_jun26!E33-A_RVS_26_28!D33</f>
        <v>-6840</v>
      </c>
      <c r="L33" s="26">
        <f>ESA2010_jun26!F33-A_RVS_26_28!E33</f>
        <v>-7824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57" t="s">
        <v>31</v>
      </c>
      <c r="B34" s="40">
        <v>0</v>
      </c>
      <c r="C34" s="40">
        <v>0</v>
      </c>
      <c r="D34" s="28">
        <v>0</v>
      </c>
      <c r="E34" s="26">
        <v>0</v>
      </c>
      <c r="F34" s="21"/>
      <c r="H34" s="24" t="s">
        <v>31</v>
      </c>
      <c r="I34" s="33">
        <f>ESA2010_jun26!C34-A_RVS_26_28!B34</f>
        <v>0</v>
      </c>
      <c r="J34" s="33">
        <f>ESA2010_jun26!D34-A_RVS_26_28!C34</f>
        <v>0</v>
      </c>
      <c r="K34" s="33">
        <f>ESA2010_jun26!E34-A_RVS_26_28!D34</f>
        <v>0</v>
      </c>
      <c r="L34" s="26">
        <f>ESA2010_jun26!F34-A_RVS_26_28!E34</f>
        <v>0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0" t="s">
        <v>32</v>
      </c>
      <c r="B35" s="45">
        <f>SUM(B36:B37)</f>
        <v>1023183</v>
      </c>
      <c r="C35" s="45">
        <f>SUM(C36:C37)</f>
        <v>1059560</v>
      </c>
      <c r="D35" s="45">
        <f>SUM(D36:D37)</f>
        <v>1074028</v>
      </c>
      <c r="E35" s="43">
        <f>SUM(E36:E37)</f>
        <v>1090708</v>
      </c>
      <c r="F35" s="21"/>
      <c r="G35" s="51"/>
      <c r="H35" s="41" t="s">
        <v>32</v>
      </c>
      <c r="I35" s="45">
        <f>SUM(I36:I37)</f>
        <v>56.191170000121929</v>
      </c>
      <c r="J35" s="45">
        <f>SUM(J36:J37)</f>
        <v>3038</v>
      </c>
      <c r="K35" s="45">
        <f>SUM(K36:K37)</f>
        <v>3400</v>
      </c>
      <c r="L35" s="43">
        <f>SUM(L36:L37)</f>
        <v>862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57" t="s">
        <v>33</v>
      </c>
      <c r="B36" s="40">
        <v>656692</v>
      </c>
      <c r="C36" s="40">
        <v>672569</v>
      </c>
      <c r="D36" s="28">
        <v>680806</v>
      </c>
      <c r="E36" s="26">
        <v>689561</v>
      </c>
      <c r="F36" s="21"/>
      <c r="H36" s="24" t="s">
        <v>33</v>
      </c>
      <c r="I36" s="33">
        <f>ESA2010_jun26!C36-A_RVS_26_28!B36</f>
        <v>-11582.683239999926</v>
      </c>
      <c r="J36" s="33">
        <f>ESA2010_jun26!D36-A_RVS_26_28!C36</f>
        <v>-4924</v>
      </c>
      <c r="K36" s="33">
        <f>ESA2010_jun26!E36-A_RVS_26_28!D36</f>
        <v>-5305</v>
      </c>
      <c r="L36" s="26">
        <f>ESA2010_jun26!F36-A_RVS_26_28!E36</f>
        <v>-8277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57" t="s">
        <v>34</v>
      </c>
      <c r="B37" s="40">
        <v>366491</v>
      </c>
      <c r="C37" s="40">
        <v>386991</v>
      </c>
      <c r="D37" s="28">
        <v>393222</v>
      </c>
      <c r="E37" s="26">
        <v>401147</v>
      </c>
      <c r="F37" s="21"/>
      <c r="H37" s="24" t="s">
        <v>34</v>
      </c>
      <c r="I37" s="33">
        <f>ESA2010_jun26!C37-A_RVS_26_28!B37</f>
        <v>11638.874410000048</v>
      </c>
      <c r="J37" s="33">
        <f>ESA2010_jun26!D37-A_RVS_26_28!C37</f>
        <v>7962</v>
      </c>
      <c r="K37" s="33">
        <f>ESA2010_jun26!E37-A_RVS_26_28!D37</f>
        <v>8705</v>
      </c>
      <c r="L37" s="26">
        <f>ESA2010_jun26!F37-A_RVS_26_28!E37</f>
        <v>9139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0" t="s">
        <v>36</v>
      </c>
      <c r="B38" s="45">
        <f>SUM(B39,B41,B42,B45,B46,B49:B53,B40,B43,B44)</f>
        <v>1195930</v>
      </c>
      <c r="C38" s="45">
        <f>SUM(C39,C41,C42,C45,C46,C49:C53,C40,C43,C44)</f>
        <v>1333294</v>
      </c>
      <c r="D38" s="45">
        <f>SUM(D39,D41,D42,D45,D46,D49:D53,D40,D43,D44)</f>
        <v>1309593</v>
      </c>
      <c r="E38" s="43">
        <f>SUM(E39,E41,E42,E45,E46,E49:E53,E40,E43,E44)</f>
        <v>1223001</v>
      </c>
      <c r="F38" s="21"/>
      <c r="H38" s="41" t="s">
        <v>37</v>
      </c>
      <c r="I38" s="45">
        <f>SUM(I39,I41,I42,I45,I46,I49:I53,I40,I43,I44)</f>
        <v>-12303.746139999959</v>
      </c>
      <c r="J38" s="45">
        <f>SUM(J39,J41,J42,J45,J46,J49:J53,J40,J43,J44)</f>
        <v>-44830</v>
      </c>
      <c r="K38" s="45">
        <f>SUM(K39,K41,K42,K45,K46,K49:K53,K40,K43,K44)</f>
        <v>-43269</v>
      </c>
      <c r="L38" s="43">
        <f>SUM(L39,L41,L42,L45,L46,L49:L53,L40,L43,L44)</f>
        <v>-34102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1" t="s">
        <v>38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38</v>
      </c>
      <c r="I39" s="33">
        <f>ESA2010_jun26!C39-A_RVS_26_28!B39</f>
        <v>0</v>
      </c>
      <c r="J39" s="33">
        <f>ESA2010_jun26!D39-A_RVS_26_28!C39</f>
        <v>0</v>
      </c>
      <c r="K39" s="33">
        <f>ESA2010_jun26!E39-A_RVS_26_28!D39</f>
        <v>0</v>
      </c>
      <c r="L39" s="26">
        <f>ESA2010_jun26!F39-A_RVS_26_28!E39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57" t="s">
        <v>39</v>
      </c>
      <c r="B40" s="40">
        <v>137668</v>
      </c>
      <c r="C40" s="40">
        <v>139440</v>
      </c>
      <c r="D40" s="28">
        <v>141440</v>
      </c>
      <c r="E40" s="26">
        <v>144048</v>
      </c>
      <c r="F40" s="21"/>
      <c r="H40" s="24" t="s">
        <v>39</v>
      </c>
      <c r="I40" s="33">
        <f>ESA2010_jun26!C40-A_RVS_26_28!B40</f>
        <v>-5311</v>
      </c>
      <c r="J40" s="33">
        <f>ESA2010_jun26!D40-A_RVS_26_28!C40</f>
        <v>-5985</v>
      </c>
      <c r="K40" s="33">
        <f>ESA2010_jun26!E40-A_RVS_26_28!D40</f>
        <v>-5770</v>
      </c>
      <c r="L40" s="26">
        <f>ESA2010_jun26!F40-A_RVS_26_28!E40</f>
        <v>-5682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1" t="s">
        <v>40</v>
      </c>
      <c r="B41" s="40">
        <v>0</v>
      </c>
      <c r="C41" s="40">
        <v>0</v>
      </c>
      <c r="D41" s="28">
        <v>0</v>
      </c>
      <c r="E41" s="26">
        <v>0</v>
      </c>
      <c r="F41" s="21"/>
      <c r="H41" s="24" t="s">
        <v>40</v>
      </c>
      <c r="I41" s="33">
        <f>ESA2010_jun26!C41-A_RVS_26_28!B41</f>
        <v>0</v>
      </c>
      <c r="J41" s="33">
        <f>ESA2010_jun26!D41-A_RVS_26_28!C41</f>
        <v>0</v>
      </c>
      <c r="K41" s="33">
        <f>ESA2010_jun26!E41-A_RVS_26_28!D41</f>
        <v>0</v>
      </c>
      <c r="L41" s="26">
        <f>ESA2010_jun26!F41-A_RVS_26_28!E41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1" t="s">
        <v>41</v>
      </c>
      <c r="B42" s="40">
        <v>473657</v>
      </c>
      <c r="C42" s="40">
        <v>427399</v>
      </c>
      <c r="D42" s="28">
        <v>377401</v>
      </c>
      <c r="E42" s="26">
        <v>256561</v>
      </c>
      <c r="F42" s="21"/>
      <c r="H42" s="24" t="s">
        <v>41</v>
      </c>
      <c r="I42" s="33">
        <f>ESA2010_jun26!C42-A_RVS_26_28!B42</f>
        <v>-9771</v>
      </c>
      <c r="J42" s="33">
        <f>ESA2010_jun26!D42-A_RVS_26_28!C42</f>
        <v>-1556</v>
      </c>
      <c r="K42" s="33">
        <f>ESA2010_jun26!E42-A_RVS_26_28!D42</f>
        <v>4419</v>
      </c>
      <c r="L42" s="26">
        <f>ESA2010_jun26!F42-A_RVS_26_28!E42</f>
        <v>11320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1" t="s">
        <v>88</v>
      </c>
      <c r="B43" s="40">
        <v>0</v>
      </c>
      <c r="C43" s="40">
        <v>0</v>
      </c>
      <c r="D43" s="28">
        <v>0</v>
      </c>
      <c r="E43" s="26">
        <v>0</v>
      </c>
      <c r="F43" s="21"/>
      <c r="H43" s="24" t="s">
        <v>88</v>
      </c>
      <c r="I43" s="33">
        <f>ESA2010_jun26!C43-A_RVS_26_28!B43</f>
        <v>0</v>
      </c>
      <c r="J43" s="33">
        <f>ESA2010_jun26!D43-A_RVS_26_28!C43</f>
        <v>0</v>
      </c>
      <c r="K43" s="33">
        <f>ESA2010_jun26!E43-A_RVS_26_28!D43</f>
        <v>0</v>
      </c>
      <c r="L43" s="26">
        <f>ESA2010_jun26!F43-A_RVS_26_28!E43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1" t="s">
        <v>89</v>
      </c>
      <c r="B44" s="40">
        <v>347</v>
      </c>
      <c r="C44" s="40">
        <v>0</v>
      </c>
      <c r="D44" s="28">
        <v>0</v>
      </c>
      <c r="E44" s="26">
        <v>0</v>
      </c>
      <c r="F44" s="21"/>
      <c r="H44" s="24" t="s">
        <v>89</v>
      </c>
      <c r="I44" s="33">
        <f>ESA2010_jun26!C44-A_RVS_26_28!B44</f>
        <v>0.46529999999700067</v>
      </c>
      <c r="J44" s="33">
        <f>ESA2010_jun26!D44-A_RVS_26_28!C44</f>
        <v>0</v>
      </c>
      <c r="K44" s="33">
        <f>ESA2010_jun26!E44-A_RVS_26_28!D44</f>
        <v>0</v>
      </c>
      <c r="L44" s="26">
        <f>ESA2010_jun26!F44-A_RVS_26_28!E44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1" t="s">
        <v>42</v>
      </c>
      <c r="B45" s="40">
        <v>0</v>
      </c>
      <c r="C45" s="40">
        <v>0</v>
      </c>
      <c r="D45" s="28">
        <v>0</v>
      </c>
      <c r="E45" s="26">
        <v>0</v>
      </c>
      <c r="F45" s="21"/>
      <c r="H45" s="24" t="s">
        <v>42</v>
      </c>
      <c r="I45" s="33">
        <f>ESA2010_jun26!C45-A_RVS_26_28!B45</f>
        <v>1242.38833</v>
      </c>
      <c r="J45" s="33">
        <f>ESA2010_jun26!D45-A_RVS_26_28!C45</f>
        <v>400</v>
      </c>
      <c r="K45" s="33">
        <f>ESA2010_jun26!E45-A_RVS_26_28!D45</f>
        <v>0</v>
      </c>
      <c r="L45" s="26">
        <f>ESA2010_jun26!F45-A_RVS_26_28!E45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1" t="s">
        <v>43</v>
      </c>
      <c r="B46" s="40">
        <v>362</v>
      </c>
      <c r="C46" s="40">
        <v>361</v>
      </c>
      <c r="D46" s="28">
        <v>361</v>
      </c>
      <c r="E46" s="26">
        <v>361</v>
      </c>
      <c r="F46" s="21"/>
      <c r="H46" s="53" t="s">
        <v>43</v>
      </c>
      <c r="I46" s="33">
        <f>ESA2010_jun26!C46-A_RVS_26_28!B46</f>
        <v>-16.800529999999981</v>
      </c>
      <c r="J46" s="33">
        <f>ESA2010_jun26!D46-A_RVS_26_28!C46</f>
        <v>159</v>
      </c>
      <c r="K46" s="33">
        <f>ESA2010_jun26!E46-A_RVS_26_28!D46</f>
        <v>159</v>
      </c>
      <c r="L46" s="26">
        <f>ESA2010_jun26!F46-A_RVS_26_28!E46</f>
        <v>159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2" t="s">
        <v>10</v>
      </c>
      <c r="B47" s="40">
        <v>83</v>
      </c>
      <c r="C47" s="40">
        <v>0</v>
      </c>
      <c r="D47" s="28">
        <v>0</v>
      </c>
      <c r="E47" s="26">
        <v>0</v>
      </c>
      <c r="F47" s="21"/>
      <c r="H47" s="56" t="s">
        <v>10</v>
      </c>
      <c r="I47" s="33">
        <f>ESA2010_jun26!C47-A_RVS_26_28!B47</f>
        <v>-1.4120000000005462E-2</v>
      </c>
      <c r="J47" s="33">
        <f>ESA2010_jun26!D47-A_RVS_26_28!C47</f>
        <v>0</v>
      </c>
      <c r="K47" s="33">
        <f>ESA2010_jun26!E47-A_RVS_26_28!D47</f>
        <v>0</v>
      </c>
      <c r="L47" s="26">
        <f>ESA2010_jun26!F47-A_RVS_26_28!E47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2" t="s">
        <v>11</v>
      </c>
      <c r="B48" s="40">
        <v>279</v>
      </c>
      <c r="C48" s="40">
        <v>361</v>
      </c>
      <c r="D48" s="28">
        <v>361</v>
      </c>
      <c r="E48" s="26">
        <v>361</v>
      </c>
      <c r="F48" s="21"/>
      <c r="H48" s="56" t="s">
        <v>11</v>
      </c>
      <c r="I48" s="33">
        <f>ESA2010_jun26!C48-A_RVS_26_28!B48</f>
        <v>-16.786409999999989</v>
      </c>
      <c r="J48" s="33">
        <f>ESA2010_jun26!D48-A_RVS_26_28!C48</f>
        <v>159</v>
      </c>
      <c r="K48" s="33">
        <f>ESA2010_jun26!E48-A_RVS_26_28!D48</f>
        <v>159</v>
      </c>
      <c r="L48" s="26">
        <f>ESA2010_jun26!F48-A_RVS_26_28!E48</f>
        <v>159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1" t="s">
        <v>44</v>
      </c>
      <c r="B49" s="40">
        <v>1000</v>
      </c>
      <c r="C49" s="40">
        <v>1000</v>
      </c>
      <c r="D49" s="28">
        <v>1000</v>
      </c>
      <c r="E49" s="26">
        <v>1000</v>
      </c>
      <c r="F49" s="21"/>
      <c r="H49" s="53" t="s">
        <v>44</v>
      </c>
      <c r="I49" s="33">
        <f>ESA2010_jun26!C49-A_RVS_26_28!B49</f>
        <v>-726.75126999999998</v>
      </c>
      <c r="J49" s="33">
        <f>ESA2010_jun26!D49-A_RVS_26_28!C49</f>
        <v>332</v>
      </c>
      <c r="K49" s="33">
        <f>ESA2010_jun26!E49-A_RVS_26_28!D49</f>
        <v>0</v>
      </c>
      <c r="L49" s="26">
        <f>ESA2010_jun26!F49-A_RVS_26_28!E49</f>
        <v>0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261" t="s">
        <v>45</v>
      </c>
      <c r="B50" s="40">
        <v>30101</v>
      </c>
      <c r="C50" s="40">
        <v>30478</v>
      </c>
      <c r="D50" s="28">
        <v>19894</v>
      </c>
      <c r="E50" s="26">
        <v>20375</v>
      </c>
      <c r="F50" s="21"/>
      <c r="H50" s="53" t="s">
        <v>45</v>
      </c>
      <c r="I50" s="33">
        <f>ESA2010_jun26!C50-A_RVS_26_28!B50</f>
        <v>-2145.5976200000005</v>
      </c>
      <c r="J50" s="33">
        <f>ESA2010_jun26!D50-A_RVS_26_28!C50</f>
        <v>-2307</v>
      </c>
      <c r="K50" s="33">
        <f>ESA2010_jun26!E50-A_RVS_26_28!D50</f>
        <v>-2296</v>
      </c>
      <c r="L50" s="26">
        <f>ESA2010_jun26!F50-A_RVS_26_28!E50</f>
        <v>-2320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53" t="s">
        <v>92</v>
      </c>
      <c r="B51" s="40">
        <v>393146</v>
      </c>
      <c r="C51" s="40">
        <v>530542</v>
      </c>
      <c r="D51" s="28">
        <v>551556</v>
      </c>
      <c r="E51" s="26">
        <v>573426</v>
      </c>
      <c r="F51" s="21"/>
      <c r="H51" s="53" t="s">
        <v>92</v>
      </c>
      <c r="I51" s="33">
        <f>ESA2010_jun26!C51-A_RVS_26_28!B51</f>
        <v>-3810.2766499999561</v>
      </c>
      <c r="J51" s="33">
        <f>ESA2010_jun26!D51-A_RVS_26_28!C51</f>
        <v>-46092</v>
      </c>
      <c r="K51" s="33">
        <f>ESA2010_jun26!E51-A_RVS_26_28!D51</f>
        <v>-46895</v>
      </c>
      <c r="L51" s="26">
        <f>ESA2010_jun26!F51-A_RVS_26_28!E51</f>
        <v>-45901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1" t="s">
        <v>46</v>
      </c>
      <c r="B52" s="40">
        <v>0</v>
      </c>
      <c r="C52" s="40">
        <v>0</v>
      </c>
      <c r="D52" s="28">
        <v>0</v>
      </c>
      <c r="E52" s="26">
        <v>0</v>
      </c>
      <c r="F52" s="21"/>
      <c r="H52" s="53" t="s">
        <v>46</v>
      </c>
      <c r="I52" s="33">
        <f>ESA2010_jun26!C52-A_RVS_26_28!B52</f>
        <v>-0.78783000000000003</v>
      </c>
      <c r="J52" s="33">
        <f>ESA2010_jun26!D52-A_RVS_26_28!C52</f>
        <v>2</v>
      </c>
      <c r="K52" s="33">
        <f>ESA2010_jun26!E52-A_RVS_26_28!D52</f>
        <v>0</v>
      </c>
      <c r="L52" s="26">
        <f>ESA2010_jun26!F52-A_RVS_26_28!E52</f>
        <v>0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57" t="s">
        <v>47</v>
      </c>
      <c r="B53" s="28">
        <f>+B54+B55+B56+B57</f>
        <v>159649</v>
      </c>
      <c r="C53" s="28">
        <f t="shared" ref="C53:E53" si="10">+C54+C55+C56+C57</f>
        <v>204074</v>
      </c>
      <c r="D53" s="28">
        <f t="shared" si="10"/>
        <v>217941</v>
      </c>
      <c r="E53" s="26">
        <f t="shared" si="10"/>
        <v>227230</v>
      </c>
      <c r="F53" s="21"/>
      <c r="H53" s="24" t="s">
        <v>48</v>
      </c>
      <c r="I53" s="33">
        <f>ESA2010_jun26!C53-A_RVS_26_28!B53</f>
        <v>8235.6141300000018</v>
      </c>
      <c r="J53" s="33">
        <f>ESA2010_jun26!D53-A_RVS_26_28!C53</f>
        <v>10217</v>
      </c>
      <c r="K53" s="33">
        <f>ESA2010_jun26!E53-A_RVS_26_28!D53</f>
        <v>7114</v>
      </c>
      <c r="L53" s="26">
        <f>ESA2010_jun26!F53-A_RVS_26_28!E53</f>
        <v>8322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3.5" customHeight="1" x14ac:dyDescent="0.25">
      <c r="A54" s="259" t="s">
        <v>10</v>
      </c>
      <c r="B54" s="28">
        <v>118833</v>
      </c>
      <c r="C54" s="28">
        <v>152068</v>
      </c>
      <c r="D54" s="28">
        <v>162175</v>
      </c>
      <c r="E54" s="26">
        <v>168695</v>
      </c>
      <c r="F54" s="21"/>
      <c r="H54" s="36" t="s">
        <v>10</v>
      </c>
      <c r="I54" s="33">
        <f>ESA2010_jun26!C54-A_RVS_26_28!B54</f>
        <v>4281.8003999999928</v>
      </c>
      <c r="J54" s="33">
        <f>ESA2010_jun26!D54-A_RVS_26_28!C54</f>
        <v>5572</v>
      </c>
      <c r="K54" s="33">
        <f>ESA2010_jun26!E54-A_RVS_26_28!D54</f>
        <v>2041</v>
      </c>
      <c r="L54" s="26">
        <f>ESA2010_jun26!F54-A_RVS_26_28!E54</f>
        <v>2961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59" t="s">
        <v>11</v>
      </c>
      <c r="B55" s="28">
        <v>0</v>
      </c>
      <c r="C55" s="28">
        <v>0</v>
      </c>
      <c r="D55" s="28">
        <v>0</v>
      </c>
      <c r="E55" s="26">
        <v>0</v>
      </c>
      <c r="F55" s="21"/>
      <c r="H55" s="36" t="s">
        <v>11</v>
      </c>
      <c r="I55" s="33">
        <f>ESA2010_jun26!C55-A_RVS_26_28!B55</f>
        <v>35.377330000000001</v>
      </c>
      <c r="J55" s="33">
        <f>ESA2010_jun26!D55-A_RVS_26_28!C55</f>
        <v>0</v>
      </c>
      <c r="K55" s="33">
        <f>ESA2010_jun26!E55-A_RVS_26_28!D55</f>
        <v>0</v>
      </c>
      <c r="L55" s="26">
        <f>ESA2010_jun26!F55-A_RVS_26_28!E55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3" t="s">
        <v>12</v>
      </c>
      <c r="B56" s="28">
        <v>0</v>
      </c>
      <c r="C56" s="28">
        <v>0</v>
      </c>
      <c r="D56" s="28">
        <v>0</v>
      </c>
      <c r="E56" s="26">
        <v>0</v>
      </c>
      <c r="F56" s="21"/>
      <c r="H56" s="58" t="s">
        <v>12</v>
      </c>
      <c r="I56" s="33">
        <f>ESA2010_jun26!C56-A_RVS_26_28!B56</f>
        <v>0</v>
      </c>
      <c r="J56" s="33">
        <f>ESA2010_jun26!D56-A_RVS_26_28!C56</f>
        <v>0</v>
      </c>
      <c r="K56" s="33">
        <f>ESA2010_jun26!E56-A_RVS_26_28!D56</f>
        <v>0</v>
      </c>
      <c r="L56" s="26">
        <f>ESA2010_jun26!F56-A_RVS_26_28!E56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59" t="s">
        <v>49</v>
      </c>
      <c r="B57" s="28">
        <v>40816</v>
      </c>
      <c r="C57" s="28">
        <v>52006</v>
      </c>
      <c r="D57" s="28">
        <v>55766</v>
      </c>
      <c r="E57" s="26">
        <v>58535</v>
      </c>
      <c r="F57" s="21"/>
      <c r="H57" s="36" t="s">
        <v>49</v>
      </c>
      <c r="I57" s="33">
        <f>ESA2010_jun26!C57-A_RVS_26_28!B57</f>
        <v>3918.4363999999987</v>
      </c>
      <c r="J57" s="33">
        <f>ESA2010_jun26!D57-A_RVS_26_28!C57</f>
        <v>4645</v>
      </c>
      <c r="K57" s="33">
        <f>ESA2010_jun26!E57-A_RVS_26_28!D57</f>
        <v>5073</v>
      </c>
      <c r="L57" s="26">
        <f>ESA2010_jun26!F57-A_RVS_26_28!E57</f>
        <v>5361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4" t="s">
        <v>50</v>
      </c>
      <c r="B58" s="28">
        <v>0</v>
      </c>
      <c r="C58" s="28">
        <v>0</v>
      </c>
      <c r="D58" s="28">
        <v>0</v>
      </c>
      <c r="E58" s="26">
        <v>0</v>
      </c>
      <c r="F58" s="21"/>
      <c r="H58" s="252" t="s">
        <v>50</v>
      </c>
      <c r="I58" s="33">
        <f>ESA2010_jun26!C58-A_RVS_26_28!B58</f>
        <v>0.12627999999999995</v>
      </c>
      <c r="J58" s="33">
        <f>ESA2010_jun26!D58-A_RVS_26_28!C58</f>
        <v>0</v>
      </c>
      <c r="K58" s="33">
        <f>ESA2010_jun26!E58-A_RVS_26_28!D58</f>
        <v>0</v>
      </c>
      <c r="L58" s="26">
        <f>ESA2010_jun26!F58-A_RVS_26_28!E58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4" t="s">
        <v>51</v>
      </c>
      <c r="B59" s="28">
        <v>0</v>
      </c>
      <c r="C59" s="28">
        <v>0</v>
      </c>
      <c r="D59" s="28">
        <v>0</v>
      </c>
      <c r="E59" s="26">
        <v>0</v>
      </c>
      <c r="F59" s="21"/>
      <c r="H59" s="252" t="s">
        <v>51</v>
      </c>
      <c r="I59" s="33">
        <f>ESA2010_jun26!C59-A_RVS_26_28!B59</f>
        <v>2.1133199999999999</v>
      </c>
      <c r="J59" s="33">
        <f>ESA2010_jun26!D59-A_RVS_26_28!C59</f>
        <v>0</v>
      </c>
      <c r="K59" s="33">
        <f>ESA2010_jun26!E59-A_RVS_26_28!D59</f>
        <v>0</v>
      </c>
      <c r="L59" s="26">
        <f>ESA2010_jun26!F59-A_RVS_26_28!E59</f>
        <v>0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x14ac:dyDescent="0.25">
      <c r="A60" s="264" t="s">
        <v>52</v>
      </c>
      <c r="B60" s="28">
        <v>118833</v>
      </c>
      <c r="C60" s="28">
        <v>152068</v>
      </c>
      <c r="D60" s="28">
        <v>162175</v>
      </c>
      <c r="E60" s="26">
        <v>168695</v>
      </c>
      <c r="F60" s="21"/>
      <c r="H60" s="252" t="s">
        <v>52</v>
      </c>
      <c r="I60" s="33">
        <f>ESA2010_jun26!C60-A_RVS_26_28!B60</f>
        <v>4341.4827399999922</v>
      </c>
      <c r="J60" s="33">
        <f>ESA2010_jun26!D60-A_RVS_26_28!C60</f>
        <v>5572</v>
      </c>
      <c r="K60" s="33">
        <f>ESA2010_jun26!E60-A_RVS_26_28!D60</f>
        <v>2041</v>
      </c>
      <c r="L60" s="26">
        <f>ESA2010_jun26!F60-A_RVS_26_28!E60</f>
        <v>2961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4.25" customHeight="1" thickBot="1" x14ac:dyDescent="0.3">
      <c r="A61" s="265" t="s">
        <v>53</v>
      </c>
      <c r="B61" s="64">
        <v>40816</v>
      </c>
      <c r="C61" s="64">
        <v>52006</v>
      </c>
      <c r="D61" s="64">
        <v>55766</v>
      </c>
      <c r="E61" s="62">
        <v>58535</v>
      </c>
      <c r="F61" s="21"/>
      <c r="H61" s="253" t="s">
        <v>53</v>
      </c>
      <c r="I61" s="33">
        <f>ESA2010_jun26!C61-A_RVS_26_28!B61</f>
        <v>3918.4363999999987</v>
      </c>
      <c r="J61" s="33">
        <f>ESA2010_jun26!D61-A_RVS_26_28!C61</f>
        <v>4645</v>
      </c>
      <c r="K61" s="33">
        <f>ESA2010_jun26!E61-A_RVS_26_28!D61</f>
        <v>5073</v>
      </c>
      <c r="L61" s="26">
        <f>ESA2010_jun26!F61-A_RVS_26_28!E61</f>
        <v>5361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56" t="s">
        <v>54</v>
      </c>
      <c r="B62" s="67">
        <f t="shared" ref="B62:E62" si="11">B63+B67</f>
        <v>18395260</v>
      </c>
      <c r="C62" s="67">
        <f t="shared" si="11"/>
        <v>19917359</v>
      </c>
      <c r="D62" s="67">
        <f t="shared" si="11"/>
        <v>20923159</v>
      </c>
      <c r="E62" s="66">
        <f t="shared" si="11"/>
        <v>21218281</v>
      </c>
      <c r="F62" s="21"/>
      <c r="H62" s="16" t="s">
        <v>54</v>
      </c>
      <c r="I62" s="70">
        <f t="shared" ref="I62:L62" si="12">I63+I67</f>
        <v>-14311.455263101234</v>
      </c>
      <c r="J62" s="70">
        <f t="shared" si="12"/>
        <v>-34419</v>
      </c>
      <c r="K62" s="70">
        <f t="shared" si="12"/>
        <v>-133338</v>
      </c>
      <c r="L62" s="71">
        <f t="shared" si="12"/>
        <v>32644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6" t="s">
        <v>55</v>
      </c>
      <c r="B63" s="45">
        <f t="shared" ref="B63:E63" si="13">B64</f>
        <v>12053666</v>
      </c>
      <c r="C63" s="45">
        <f t="shared" si="13"/>
        <v>12840373</v>
      </c>
      <c r="D63" s="45">
        <f t="shared" si="13"/>
        <v>13532254</v>
      </c>
      <c r="E63" s="43">
        <f t="shared" si="13"/>
        <v>14019582</v>
      </c>
      <c r="F63" s="21"/>
      <c r="H63" s="72" t="s">
        <v>55</v>
      </c>
      <c r="I63" s="45">
        <f t="shared" ref="I63:L63" si="14">I64</f>
        <v>-33990.975873017422</v>
      </c>
      <c r="J63" s="45">
        <f t="shared" si="14"/>
        <v>-31742</v>
      </c>
      <c r="K63" s="45">
        <f t="shared" si="14"/>
        <v>-120022</v>
      </c>
      <c r="L63" s="43">
        <f t="shared" si="14"/>
        <v>-5540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58" t="s">
        <v>56</v>
      </c>
      <c r="B64" s="28">
        <f t="shared" ref="B64:E64" si="15">B65+B66</f>
        <v>12053666</v>
      </c>
      <c r="C64" s="28">
        <f t="shared" si="15"/>
        <v>12840373</v>
      </c>
      <c r="D64" s="28">
        <f t="shared" si="15"/>
        <v>13532254</v>
      </c>
      <c r="E64" s="26">
        <f t="shared" si="15"/>
        <v>14019582</v>
      </c>
      <c r="F64" s="21"/>
      <c r="H64" s="29" t="s">
        <v>56</v>
      </c>
      <c r="I64" s="28">
        <f t="shared" ref="I64:L64" si="16">I65+I66</f>
        <v>-33990.975873017422</v>
      </c>
      <c r="J64" s="28">
        <f t="shared" si="16"/>
        <v>-31742</v>
      </c>
      <c r="K64" s="28">
        <f t="shared" si="16"/>
        <v>-120022</v>
      </c>
      <c r="L64" s="26">
        <f t="shared" si="16"/>
        <v>-5540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58" t="s">
        <v>57</v>
      </c>
      <c r="B65" s="28">
        <v>11834016</v>
      </c>
      <c r="C65" s="28">
        <v>12621482</v>
      </c>
      <c r="D65" s="28">
        <v>13314583</v>
      </c>
      <c r="E65" s="26">
        <v>13803730</v>
      </c>
      <c r="F65" s="21"/>
      <c r="H65" s="29" t="s">
        <v>57</v>
      </c>
      <c r="I65" s="33">
        <f>ESA2010_jun26!C65-A_RVS_26_28!B65</f>
        <v>-1415.6235930174589</v>
      </c>
      <c r="J65" s="33">
        <f>ESA2010_jun26!D65-A_RVS_26_28!C65</f>
        <v>-12486</v>
      </c>
      <c r="K65" s="33">
        <f>ESA2010_jun26!E65-A_RVS_26_28!D65</f>
        <v>-100563</v>
      </c>
      <c r="L65" s="26">
        <f>ESA2010_jun26!F65-A_RVS_26_28!E65</f>
        <v>13010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58" t="s">
        <v>58</v>
      </c>
      <c r="B66" s="28">
        <v>219650</v>
      </c>
      <c r="C66" s="28">
        <v>218891</v>
      </c>
      <c r="D66" s="28">
        <v>217671</v>
      </c>
      <c r="E66" s="26">
        <v>215852</v>
      </c>
      <c r="F66" s="21"/>
      <c r="H66" s="29" t="s">
        <v>58</v>
      </c>
      <c r="I66" s="33">
        <f>ESA2010_jun26!C66-A_RVS_26_28!B66</f>
        <v>-32575.352279999963</v>
      </c>
      <c r="J66" s="33">
        <f>ESA2010_jun26!D66-A_RVS_26_28!C66</f>
        <v>-19256</v>
      </c>
      <c r="K66" s="33">
        <f>ESA2010_jun26!E66-A_RVS_26_28!D66</f>
        <v>-19459</v>
      </c>
      <c r="L66" s="26">
        <f>ESA2010_jun26!F66-A_RVS_26_28!E66</f>
        <v>-18550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6" t="s">
        <v>59</v>
      </c>
      <c r="B67" s="45">
        <f t="shared" ref="B67:E67" si="17">B68</f>
        <v>6341594</v>
      </c>
      <c r="C67" s="45">
        <f t="shared" si="17"/>
        <v>7076986</v>
      </c>
      <c r="D67" s="45">
        <f t="shared" si="17"/>
        <v>7390905</v>
      </c>
      <c r="E67" s="43">
        <f t="shared" si="17"/>
        <v>7198699</v>
      </c>
      <c r="F67" s="75"/>
      <c r="H67" s="72" t="s">
        <v>59</v>
      </c>
      <c r="I67" s="45">
        <f t="shared" ref="I67:L67" si="18">I68</f>
        <v>19679.520609916188</v>
      </c>
      <c r="J67" s="45">
        <f t="shared" si="18"/>
        <v>-2677</v>
      </c>
      <c r="K67" s="45">
        <f t="shared" si="18"/>
        <v>-13316</v>
      </c>
      <c r="L67" s="43">
        <f t="shared" si="18"/>
        <v>38184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3.5" customHeight="1" x14ac:dyDescent="0.25">
      <c r="A68" s="258" t="s">
        <v>56</v>
      </c>
      <c r="B68" s="28">
        <v>6341594</v>
      </c>
      <c r="C68" s="28">
        <v>7076986</v>
      </c>
      <c r="D68" s="28">
        <v>7390905</v>
      </c>
      <c r="E68" s="26">
        <v>7198699</v>
      </c>
      <c r="F68" s="21"/>
      <c r="H68" s="29" t="s">
        <v>56</v>
      </c>
      <c r="I68" s="33">
        <f>ESA2010_jun26!C68-A_RVS_26_28!B68</f>
        <v>19679.520609916188</v>
      </c>
      <c r="J68" s="33">
        <f>ESA2010_jun26!D68-A_RVS_26_28!C68</f>
        <v>-2677</v>
      </c>
      <c r="K68" s="33">
        <f>ESA2010_jun26!E68-A_RVS_26_28!D68</f>
        <v>-13316</v>
      </c>
      <c r="L68" s="26">
        <f>ESA2010_jun26!F68-A_RVS_26_28!E68</f>
        <v>38184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67" t="s">
        <v>60</v>
      </c>
      <c r="B69" s="40">
        <v>46931</v>
      </c>
      <c r="C69" s="40">
        <v>47979</v>
      </c>
      <c r="D69" s="40">
        <v>45920</v>
      </c>
      <c r="E69" s="54">
        <v>43638</v>
      </c>
      <c r="F69" s="21"/>
      <c r="H69" s="76" t="s">
        <v>60</v>
      </c>
      <c r="I69" s="33">
        <f>ESA2010_jun26!C69-A_RVS_26_28!B69</f>
        <v>6435.5064800000182</v>
      </c>
      <c r="J69" s="33">
        <f>ESA2010_jun26!D69-A_RVS_26_28!C69</f>
        <v>7639</v>
      </c>
      <c r="K69" s="33">
        <f>ESA2010_jun26!E69-A_RVS_26_28!D69</f>
        <v>10663</v>
      </c>
      <c r="L69" s="26">
        <f>ESA2010_jun26!F69-A_RVS_26_28!E69</f>
        <v>13607</v>
      </c>
      <c r="M69" s="22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4.25" customHeight="1" thickBot="1" x14ac:dyDescent="0.3">
      <c r="A70" s="268" t="s">
        <v>61</v>
      </c>
      <c r="B70" s="82">
        <f>B38+B35+B30+B18+B5</f>
        <v>26653672</v>
      </c>
      <c r="C70" s="82">
        <f>C38+C35+C30+C18+C5</f>
        <v>28186375</v>
      </c>
      <c r="D70" s="82">
        <f>D38+D35+D30+D18+D5</f>
        <v>28639900</v>
      </c>
      <c r="E70" s="80">
        <f>E38+E35+E30+E18+E5</f>
        <v>29564471</v>
      </c>
      <c r="F70" s="21"/>
      <c r="H70" s="78" t="s">
        <v>61</v>
      </c>
      <c r="I70" s="82">
        <f>+I38+I35+I30+I18+I5</f>
        <v>-624031.44487540191</v>
      </c>
      <c r="J70" s="82">
        <f>+J38+J35+J30+J18+J5</f>
        <v>-657770</v>
      </c>
      <c r="K70" s="82">
        <f>+K38+K35+K30+K18+K5</f>
        <v>-424035</v>
      </c>
      <c r="L70" s="80">
        <f>+L38+L35+L30+L18+L5</f>
        <v>-219833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69" t="s">
        <v>62</v>
      </c>
      <c r="B71" s="85">
        <f>B9+B13+B17+B19+B20+B30+B47+B52+B54+B40+B39+B43+B44+B42+B51+B16</f>
        <v>22117988</v>
      </c>
      <c r="C71" s="85">
        <f>C9+C13+C17+C19+C20+C30+C47+C52+C54+C40+C39+C43+C44+C42+C51+C16+C49</f>
        <v>23261363</v>
      </c>
      <c r="D71" s="85">
        <f t="shared" ref="D71:E71" si="19">D9+D13+D17+D19+D20+D30+D47+D52+D54+D40+D39+D43+D44+D42+D51+D16+D49</f>
        <v>23590699</v>
      </c>
      <c r="E71" s="84">
        <f t="shared" si="19"/>
        <v>24287571</v>
      </c>
      <c r="F71" s="21"/>
      <c r="H71" s="83" t="s">
        <v>62</v>
      </c>
      <c r="I71" s="33">
        <f>ESA2010_jun26!C71-A_RVS_26_28!B71</f>
        <v>-620084.45953540131</v>
      </c>
      <c r="J71" s="33">
        <f>ESA2010_jun26!D71-A_RVS_26_28!C71</f>
        <v>-645522</v>
      </c>
      <c r="K71" s="33">
        <f>ESA2010_jun26!E71-A_RVS_26_28!D71</f>
        <v>-498155</v>
      </c>
      <c r="L71" s="26">
        <f>ESA2010_jun26!F71-A_RVS_26_28!E71</f>
        <v>-279367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69" t="s">
        <v>63</v>
      </c>
      <c r="B72" s="85">
        <f>0+B57</f>
        <v>40816</v>
      </c>
      <c r="C72" s="85">
        <f>0+C57</f>
        <v>52006</v>
      </c>
      <c r="D72" s="85">
        <f>0+D57</f>
        <v>55766</v>
      </c>
      <c r="E72" s="84">
        <f>0+E57</f>
        <v>58535</v>
      </c>
      <c r="F72" s="21"/>
      <c r="H72" s="83" t="s">
        <v>63</v>
      </c>
      <c r="I72" s="33">
        <f>ESA2010_jun26!C72-A_RVS_26_28!B72</f>
        <v>3918.4363999999987</v>
      </c>
      <c r="J72" s="33">
        <f>ESA2010_jun26!D72-A_RVS_26_28!C72</f>
        <v>4645</v>
      </c>
      <c r="K72" s="33">
        <f>ESA2010_jun26!E72-A_RVS_26_28!D72</f>
        <v>5073</v>
      </c>
      <c r="L72" s="26">
        <f>ESA2010_jun26!F72-A_RVS_26_28!E72</f>
        <v>5361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57" t="s">
        <v>64</v>
      </c>
      <c r="B73" s="85">
        <v>0</v>
      </c>
      <c r="C73" s="85">
        <v>0</v>
      </c>
      <c r="D73" s="85">
        <v>0</v>
      </c>
      <c r="E73" s="84">
        <v>0</v>
      </c>
      <c r="F73" s="21"/>
      <c r="H73" s="24" t="s">
        <v>64</v>
      </c>
      <c r="I73" s="33">
        <f>ESA2010_jun26!C73-A_RVS_26_28!B73</f>
        <v>0</v>
      </c>
      <c r="J73" s="33">
        <f>ESA2010_jun26!D73-A_RVS_26_28!C73</f>
        <v>0</v>
      </c>
      <c r="K73" s="33">
        <f>ESA2010_jun26!E73-A_RVS_26_28!D73</f>
        <v>0</v>
      </c>
      <c r="L73" s="26">
        <f>ESA2010_jun26!F73-A_RVS_26_28!E73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57" t="s">
        <v>65</v>
      </c>
      <c r="B74" s="85">
        <f>B10+B37+B36+B48+B55+B14</f>
        <v>3265193</v>
      </c>
      <c r="C74" s="85">
        <f>C10+C37+C36+C48+C55+C14</f>
        <v>3516872</v>
      </c>
      <c r="D74" s="85">
        <f>D10+D37+D36+D48+D55+D14</f>
        <v>3606926</v>
      </c>
      <c r="E74" s="84">
        <f>E10+E37+E36+E48+E55+E14</f>
        <v>3758554</v>
      </c>
      <c r="F74" s="21"/>
      <c r="H74" s="24" t="s">
        <v>65</v>
      </c>
      <c r="I74" s="33">
        <f>ESA2010_jun26!C74-A_RVS_26_28!B74</f>
        <v>-4035.1609000000171</v>
      </c>
      <c r="J74" s="33">
        <f>ESA2010_jun26!D74-A_RVS_26_28!C74</f>
        <v>-8826</v>
      </c>
      <c r="K74" s="33">
        <f>ESA2010_jun26!E74-A_RVS_26_28!D74</f>
        <v>25845</v>
      </c>
      <c r="L74" s="26">
        <f>ESA2010_jun26!F74-A_RVS_26_28!E74</f>
        <v>14056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57" t="s">
        <v>66</v>
      </c>
      <c r="B75" s="85">
        <f>B11+B56+B15</f>
        <v>1198574</v>
      </c>
      <c r="C75" s="85">
        <f>C11+C56+C15</f>
        <v>1325656</v>
      </c>
      <c r="D75" s="85">
        <f>D11+D56+D15</f>
        <v>1366615</v>
      </c>
      <c r="E75" s="84">
        <f>E11+E56+E15</f>
        <v>1439436</v>
      </c>
      <c r="F75" s="21"/>
      <c r="H75" s="24" t="s">
        <v>66</v>
      </c>
      <c r="I75" s="33">
        <f>ESA2010_jun26!C75-A_RVS_26_28!B75</f>
        <v>-2200.3002800000831</v>
      </c>
      <c r="J75" s="33">
        <f>ESA2010_jun26!D75-A_RVS_26_28!C75</f>
        <v>-6492</v>
      </c>
      <c r="K75" s="33">
        <f>ESA2010_jun26!E75-A_RVS_26_28!D75</f>
        <v>45498</v>
      </c>
      <c r="L75" s="26">
        <f>ESA2010_jun26!F75-A_RVS_26_28!E75</f>
        <v>42437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57" t="s">
        <v>67</v>
      </c>
      <c r="B76" s="85">
        <f>B45</f>
        <v>0</v>
      </c>
      <c r="C76" s="85">
        <f>C45</f>
        <v>0</v>
      </c>
      <c r="D76" s="85">
        <f>D45</f>
        <v>0</v>
      </c>
      <c r="E76" s="84">
        <f>E45</f>
        <v>0</v>
      </c>
      <c r="F76" s="21"/>
      <c r="H76" s="24" t="s">
        <v>67</v>
      </c>
      <c r="I76" s="33">
        <f>ESA2010_jun26!C76-A_RVS_26_28!B76</f>
        <v>1242.38833</v>
      </c>
      <c r="J76" s="33">
        <f>ESA2010_jun26!D76-A_RVS_26_28!C76</f>
        <v>400</v>
      </c>
      <c r="K76" s="33">
        <f>ESA2010_jun26!E76-A_RVS_26_28!D76</f>
        <v>0</v>
      </c>
      <c r="L76" s="26">
        <f>ESA2010_jun26!F76-A_RVS_26_28!E76</f>
        <v>0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3.5" customHeight="1" x14ac:dyDescent="0.25">
      <c r="A77" s="257" t="s">
        <v>68</v>
      </c>
      <c r="B77" s="85">
        <f>B50+B49</f>
        <v>31101</v>
      </c>
      <c r="C77" s="85">
        <f>C50</f>
        <v>30478</v>
      </c>
      <c r="D77" s="85">
        <f t="shared" ref="D77:E77" si="20">D50</f>
        <v>19894</v>
      </c>
      <c r="E77" s="84">
        <f t="shared" si="20"/>
        <v>20375</v>
      </c>
      <c r="F77" s="21"/>
      <c r="H77" s="24" t="s">
        <v>68</v>
      </c>
      <c r="I77" s="33">
        <f>ESA2010_jun26!C77-A_RVS_26_28!B77</f>
        <v>-2872.3488900000011</v>
      </c>
      <c r="J77" s="33">
        <f>ESA2010_jun26!D77-A_RVS_26_28!C77</f>
        <v>-1975</v>
      </c>
      <c r="K77" s="33">
        <f>ESA2010_jun26!E77-A_RVS_26_28!D77</f>
        <v>-2296</v>
      </c>
      <c r="L77" s="26">
        <f>ESA2010_jun26!F77-A_RVS_26_28!E77</f>
        <v>-2320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0" t="s">
        <v>69</v>
      </c>
      <c r="B78" s="88">
        <f t="shared" ref="B78:E78" si="21">B62</f>
        <v>18395260</v>
      </c>
      <c r="C78" s="88">
        <f t="shared" si="21"/>
        <v>19917359</v>
      </c>
      <c r="D78" s="88">
        <f t="shared" si="21"/>
        <v>20923159</v>
      </c>
      <c r="E78" s="87">
        <f t="shared" si="21"/>
        <v>21218281</v>
      </c>
      <c r="F78" s="21"/>
      <c r="H78" s="86" t="s">
        <v>69</v>
      </c>
      <c r="I78" s="88">
        <f t="shared" ref="I78:L78" si="22">I62</f>
        <v>-14311.455263101234</v>
      </c>
      <c r="J78" s="88">
        <f t="shared" si="22"/>
        <v>-34419</v>
      </c>
      <c r="K78" s="88">
        <f t="shared" si="22"/>
        <v>-133338</v>
      </c>
      <c r="L78" s="87">
        <f t="shared" si="22"/>
        <v>32644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3">
      <c r="A79" s="271" t="s">
        <v>70</v>
      </c>
      <c r="B79" s="82">
        <f t="shared" ref="B79:E79" si="23">B70+B78</f>
        <v>45048932</v>
      </c>
      <c r="C79" s="82">
        <f t="shared" si="23"/>
        <v>48103734</v>
      </c>
      <c r="D79" s="82">
        <f t="shared" si="23"/>
        <v>49563059</v>
      </c>
      <c r="E79" s="80">
        <f t="shared" si="23"/>
        <v>50782752</v>
      </c>
      <c r="F79" s="21"/>
      <c r="H79" s="89" t="s">
        <v>70</v>
      </c>
      <c r="I79" s="82">
        <f t="shared" ref="I79:L79" si="24">+I78+I70</f>
        <v>-638342.90013850317</v>
      </c>
      <c r="J79" s="82">
        <f t="shared" si="24"/>
        <v>-692189</v>
      </c>
      <c r="K79" s="82">
        <f t="shared" si="24"/>
        <v>-557373</v>
      </c>
      <c r="L79" s="80">
        <f t="shared" si="24"/>
        <v>-187189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s="91" customFormat="1" ht="13.5" customHeight="1" thickBot="1" x14ac:dyDescent="0.3">
      <c r="A80" s="92"/>
      <c r="B80" s="221"/>
      <c r="C80" s="221"/>
      <c r="D80" s="221"/>
      <c r="E80" s="221"/>
      <c r="F80" s="46"/>
      <c r="H80" s="92"/>
      <c r="I80" s="221"/>
      <c r="J80" s="221"/>
      <c r="K80" s="221"/>
      <c r="L80" s="221"/>
      <c r="M80" s="94"/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3">
      <c r="A81" s="95" t="s">
        <v>71</v>
      </c>
      <c r="B81" s="98">
        <f t="shared" ref="B81:E81" si="25">SUM(B82:B83)</f>
        <v>106585</v>
      </c>
      <c r="C81" s="99">
        <f t="shared" si="25"/>
        <v>123272</v>
      </c>
      <c r="D81" s="99">
        <f t="shared" si="25"/>
        <v>131331</v>
      </c>
      <c r="E81" s="97">
        <f t="shared" si="25"/>
        <v>136694</v>
      </c>
      <c r="H81" s="100" t="s">
        <v>71</v>
      </c>
      <c r="I81" s="103">
        <f>I82+I83</f>
        <v>3187.8158600000097</v>
      </c>
      <c r="J81" s="103">
        <f t="shared" ref="J81:L81" si="26">J82+J83</f>
        <v>-2596</v>
      </c>
      <c r="K81" s="103">
        <f t="shared" si="26"/>
        <v>-3285</v>
      </c>
      <c r="L81" s="104">
        <f t="shared" si="26"/>
        <v>-3292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3.5" customHeight="1" x14ac:dyDescent="0.25">
      <c r="A82" s="105" t="s">
        <v>72</v>
      </c>
      <c r="B82" s="108">
        <v>48832</v>
      </c>
      <c r="C82" s="109">
        <v>58352</v>
      </c>
      <c r="D82" s="109">
        <v>63852</v>
      </c>
      <c r="E82" s="107">
        <v>66785</v>
      </c>
      <c r="H82" s="110" t="s">
        <v>72</v>
      </c>
      <c r="I82" s="33">
        <f>ESA2010_jun26!C82-A_RVS_26_28!B82</f>
        <v>610.43138000000181</v>
      </c>
      <c r="J82" s="33">
        <f>ESA2010_jun26!D82-A_RVS_26_28!C82</f>
        <v>1511</v>
      </c>
      <c r="K82" s="33">
        <f>ESA2010_jun26!E82-A_RVS_26_28!D82</f>
        <v>1027</v>
      </c>
      <c r="L82" s="26">
        <f>ESA2010_jun26!F82-A_RVS_26_28!E82</f>
        <v>1057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4.25" customHeight="1" thickBot="1" x14ac:dyDescent="0.3">
      <c r="A83" s="112" t="s">
        <v>73</v>
      </c>
      <c r="B83" s="115">
        <v>57753</v>
      </c>
      <c r="C83" s="116">
        <v>64920</v>
      </c>
      <c r="D83" s="116">
        <v>67479</v>
      </c>
      <c r="E83" s="114">
        <v>69909</v>
      </c>
      <c r="H83" s="112" t="s">
        <v>73</v>
      </c>
      <c r="I83" s="33">
        <f>ESA2010_jun26!C83-A_RVS_26_28!B83</f>
        <v>2577.3844800000079</v>
      </c>
      <c r="J83" s="33">
        <f>ESA2010_jun26!D83-A_RVS_26_28!C83</f>
        <v>-4107</v>
      </c>
      <c r="K83" s="33">
        <f>ESA2010_jun26!E83-A_RVS_26_28!D83</f>
        <v>-4312</v>
      </c>
      <c r="L83" s="26">
        <f>ESA2010_jun26!F83-A_RVS_26_28!E83</f>
        <v>-4349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7.25" customHeight="1" thickBot="1" x14ac:dyDescent="0.35">
      <c r="A84" s="120"/>
      <c r="B84" s="226"/>
      <c r="C84" s="226"/>
      <c r="D84" s="226"/>
      <c r="E84" s="226"/>
      <c r="H84" s="122"/>
      <c r="I84" s="124"/>
      <c r="J84" s="124"/>
      <c r="K84" s="124"/>
      <c r="L84" s="124"/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7.25" customHeight="1" thickBot="1" x14ac:dyDescent="0.3">
      <c r="A85" s="100" t="s">
        <v>94</v>
      </c>
      <c r="B85" s="417">
        <f>+B86</f>
        <v>0</v>
      </c>
      <c r="C85" s="413">
        <f t="shared" ref="C85:E85" si="27">+C86</f>
        <v>68454</v>
      </c>
      <c r="D85" s="413">
        <f t="shared" si="27"/>
        <v>73848</v>
      </c>
      <c r="E85" s="414">
        <f t="shared" si="27"/>
        <v>78648</v>
      </c>
      <c r="H85" s="100" t="s">
        <v>94</v>
      </c>
      <c r="I85" s="417">
        <f>+I86</f>
        <v>0</v>
      </c>
      <c r="J85" s="413">
        <f t="shared" ref="J85:L85" si="28">+J86</f>
        <v>1417</v>
      </c>
      <c r="K85" s="413">
        <f t="shared" si="28"/>
        <v>1882</v>
      </c>
      <c r="L85" s="414">
        <f t="shared" si="28"/>
        <v>539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7.25" customHeight="1" thickBot="1" x14ac:dyDescent="0.3">
      <c r="A86" s="418" t="s">
        <v>72</v>
      </c>
      <c r="B86" s="415">
        <v>0</v>
      </c>
      <c r="C86" s="415">
        <v>68454</v>
      </c>
      <c r="D86" s="415">
        <v>73848</v>
      </c>
      <c r="E86" s="416">
        <v>78648</v>
      </c>
      <c r="H86" s="418" t="s">
        <v>72</v>
      </c>
      <c r="I86" s="415">
        <f>ESA2010_jun26!C86-A_RVS_26_28!B86</f>
        <v>0</v>
      </c>
      <c r="J86" s="415">
        <f>ESA2010_jun26!D86-A_RVS_26_28!C86</f>
        <v>1417</v>
      </c>
      <c r="K86" s="415">
        <f>ESA2010_jun26!E86-A_RVS_26_28!D86</f>
        <v>1882</v>
      </c>
      <c r="L86" s="416">
        <f>ESA2010_jun26!F86-A_RVS_26_28!E86</f>
        <v>539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7.25" customHeight="1" thickBot="1" x14ac:dyDescent="0.35">
      <c r="A87" s="411"/>
      <c r="B87" s="412"/>
      <c r="C87" s="412"/>
      <c r="D87" s="412"/>
      <c r="E87" s="412"/>
      <c r="H87" s="122"/>
      <c r="I87" s="124"/>
      <c r="J87" s="124"/>
      <c r="K87" s="124"/>
      <c r="L87" s="124"/>
      <c r="N87" s="23"/>
      <c r="O87" s="23"/>
      <c r="P87" s="23"/>
      <c r="Q87" s="23"/>
      <c r="R87" s="23"/>
      <c r="S87" s="23"/>
      <c r="T87" s="23"/>
      <c r="U87" s="23"/>
      <c r="V87" s="23"/>
    </row>
    <row r="88" spans="1:22" s="125" customFormat="1" ht="14.25" customHeight="1" thickBot="1" x14ac:dyDescent="0.3">
      <c r="A88" s="100" t="s">
        <v>74</v>
      </c>
      <c r="B88" s="128">
        <v>1034333</v>
      </c>
      <c r="C88" s="129">
        <v>1131030</v>
      </c>
      <c r="D88" s="130">
        <v>1182375</v>
      </c>
      <c r="E88" s="127">
        <v>1246991</v>
      </c>
      <c r="H88" s="100" t="s">
        <v>74</v>
      </c>
      <c r="I88" s="131">
        <f>ESA2010_jun26!C89-A_RVS_26_28!B88</f>
        <v>29319.271303015761</v>
      </c>
      <c r="J88" s="129">
        <f>ESA2010_jun26!D89-A_RVS_26_28!C88</f>
        <v>-18110</v>
      </c>
      <c r="K88" s="130">
        <f>ESA2010_jun26!E89-A_RVS_26_28!D88</f>
        <v>-15944</v>
      </c>
      <c r="L88" s="127">
        <f>ESA2010_jun26!F89-A_RVS_26_28!E88</f>
        <v>-26772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4.25" customHeight="1" thickBot="1" x14ac:dyDescent="0.3">
      <c r="B89" s="164"/>
      <c r="C89" s="164"/>
      <c r="D89" s="164"/>
      <c r="E89" s="164"/>
      <c r="I89" s="22"/>
      <c r="J89" s="22"/>
      <c r="K89" s="22"/>
      <c r="L89" s="22"/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34" t="s">
        <v>75</v>
      </c>
      <c r="B90" s="137">
        <f t="shared" ref="B90:E90" si="29">SUM(B91,B94,B97)</f>
        <v>779297.25246358663</v>
      </c>
      <c r="C90" s="136">
        <f t="shared" si="29"/>
        <v>798129.39638422045</v>
      </c>
      <c r="D90" s="138">
        <f t="shared" si="29"/>
        <v>816979.9529917005</v>
      </c>
      <c r="E90" s="139">
        <f t="shared" si="29"/>
        <v>819917.05326822679</v>
      </c>
      <c r="H90" s="134" t="s">
        <v>75</v>
      </c>
      <c r="I90" s="137">
        <f t="shared" ref="I90:L90" si="30">SUM(I91,I94,I97)</f>
        <v>26386.204221354768</v>
      </c>
      <c r="J90" s="136">
        <f t="shared" si="30"/>
        <v>17129.603615779539</v>
      </c>
      <c r="K90" s="138">
        <f t="shared" si="30"/>
        <v>5013.0470082995344</v>
      </c>
      <c r="L90" s="139">
        <f t="shared" si="30"/>
        <v>5020.9467317732124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40" t="s">
        <v>76</v>
      </c>
      <c r="B91" s="143">
        <v>4.0220000000000002</v>
      </c>
      <c r="C91" s="144">
        <v>4.0220000000000002</v>
      </c>
      <c r="D91" s="145">
        <v>4.0220000000000002</v>
      </c>
      <c r="E91" s="142">
        <v>4.0220000000000002</v>
      </c>
      <c r="H91" s="140" t="s">
        <v>76</v>
      </c>
      <c r="I91" s="143">
        <f t="shared" ref="I91:L91" si="31">SUM(I92:I93)</f>
        <v>-4.0220000000000002</v>
      </c>
      <c r="J91" s="144">
        <f t="shared" si="31"/>
        <v>-4.0220000000000002</v>
      </c>
      <c r="K91" s="145">
        <f t="shared" si="31"/>
        <v>-4.0220000000000002</v>
      </c>
      <c r="L91" s="142">
        <f t="shared" si="31"/>
        <v>-4.0220000000000002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5">
      <c r="A92" s="146" t="s">
        <v>8</v>
      </c>
      <c r="B92" s="143">
        <v>0</v>
      </c>
      <c r="C92" s="144">
        <v>0</v>
      </c>
      <c r="D92" s="145">
        <v>0</v>
      </c>
      <c r="E92" s="142">
        <v>0</v>
      </c>
      <c r="H92" s="146" t="s">
        <v>8</v>
      </c>
      <c r="I92" s="33">
        <f>ESA2010_jun26!C93-A_RVS_26_28!B92</f>
        <v>0</v>
      </c>
      <c r="J92" s="33">
        <f>ESA2010_jun26!D93-A_RVS_26_28!C92</f>
        <v>0</v>
      </c>
      <c r="K92" s="33">
        <f>ESA2010_jun26!E93-A_RVS_26_28!D92</f>
        <v>0</v>
      </c>
      <c r="L92" s="26">
        <f>ESA2010_jun26!F93-A_RVS_26_28!E92</f>
        <v>0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5">
      <c r="A93" s="146" t="s">
        <v>9</v>
      </c>
      <c r="B93" s="143">
        <v>4.0220000000000002</v>
      </c>
      <c r="C93" s="144">
        <v>4.0220000000000002</v>
      </c>
      <c r="D93" s="145">
        <v>4.0220000000000002</v>
      </c>
      <c r="E93" s="142">
        <v>4.0220000000000002</v>
      </c>
      <c r="H93" s="146" t="s">
        <v>9</v>
      </c>
      <c r="I93" s="33">
        <f>ESA2010_jun26!C94-A_RVS_26_28!B93</f>
        <v>-4.0220000000000002</v>
      </c>
      <c r="J93" s="33">
        <f>ESA2010_jun26!D94-A_RVS_26_28!C93</f>
        <v>-4.0220000000000002</v>
      </c>
      <c r="K93" s="33">
        <f>ESA2010_jun26!E94-A_RVS_26_28!D93</f>
        <v>-4.0220000000000002</v>
      </c>
      <c r="L93" s="26">
        <f>ESA2010_jun26!F94-A_RVS_26_28!E93</f>
        <v>-4.0220000000000002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40" t="s">
        <v>77</v>
      </c>
      <c r="B94" s="149">
        <v>759264</v>
      </c>
      <c r="C94" s="47">
        <v>763186</v>
      </c>
      <c r="D94" s="47">
        <v>767294</v>
      </c>
      <c r="E94" s="48">
        <v>769840</v>
      </c>
      <c r="H94" s="140" t="s">
        <v>77</v>
      </c>
      <c r="I94" s="150">
        <f t="shared" ref="I94:L94" si="32">SUM(I95:I96)</f>
        <v>29663.900153301744</v>
      </c>
      <c r="J94" s="47">
        <f t="shared" si="32"/>
        <v>30312</v>
      </c>
      <c r="K94" s="47">
        <f t="shared" si="32"/>
        <v>30507</v>
      </c>
      <c r="L94" s="48">
        <f t="shared" si="32"/>
        <v>29386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46" t="s">
        <v>8</v>
      </c>
      <c r="B95" s="143">
        <v>537742</v>
      </c>
      <c r="C95" s="144">
        <v>540227</v>
      </c>
      <c r="D95" s="145">
        <v>542967</v>
      </c>
      <c r="E95" s="142">
        <v>544535</v>
      </c>
      <c r="H95" s="146" t="s">
        <v>8</v>
      </c>
      <c r="I95" s="33">
        <f>ESA2010_jun26!C96-A_RVS_26_28!B95</f>
        <v>27445.135735032731</v>
      </c>
      <c r="J95" s="33">
        <f>ESA2010_jun26!D96-A_RVS_26_28!C95</f>
        <v>28111</v>
      </c>
      <c r="K95" s="33">
        <f>ESA2010_jun26!E96-A_RVS_26_28!D95</f>
        <v>28415</v>
      </c>
      <c r="L95" s="26">
        <f>ESA2010_jun26!F96-A_RVS_26_28!E95</f>
        <v>27395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4.25" customHeight="1" x14ac:dyDescent="0.25">
      <c r="A96" s="146" t="s">
        <v>9</v>
      </c>
      <c r="B96" s="143">
        <v>221522</v>
      </c>
      <c r="C96" s="144">
        <v>222959</v>
      </c>
      <c r="D96" s="145">
        <v>224327</v>
      </c>
      <c r="E96" s="142">
        <v>225305</v>
      </c>
      <c r="H96" s="146" t="s">
        <v>9</v>
      </c>
      <c r="I96" s="33">
        <f>ESA2010_jun26!C97-A_RVS_26_28!B96</f>
        <v>2218.7644182690128</v>
      </c>
      <c r="J96" s="33">
        <f>ESA2010_jun26!D97-A_RVS_26_28!C96</f>
        <v>2201</v>
      </c>
      <c r="K96" s="33">
        <f>ESA2010_jun26!E97-A_RVS_26_28!D96</f>
        <v>2092</v>
      </c>
      <c r="L96" s="26">
        <f>ESA2010_jun26!F97-A_RVS_26_28!E96</f>
        <v>1991</v>
      </c>
      <c r="N96" s="23"/>
      <c r="O96" s="23"/>
      <c r="P96" s="23"/>
      <c r="Q96" s="23"/>
      <c r="R96" s="23"/>
      <c r="S96" s="23"/>
      <c r="T96" s="23"/>
      <c r="U96" s="23"/>
      <c r="V96" s="23"/>
    </row>
    <row r="97" spans="1:22" ht="13.5" customHeight="1" x14ac:dyDescent="0.25">
      <c r="A97" s="152" t="s">
        <v>78</v>
      </c>
      <c r="B97" s="155">
        <v>20029.230463586602</v>
      </c>
      <c r="C97" s="156">
        <v>34939.374384220464</v>
      </c>
      <c r="D97" s="156">
        <v>49681.930991700465</v>
      </c>
      <c r="E97" s="157">
        <v>50073.031268226783</v>
      </c>
      <c r="H97" s="152" t="s">
        <v>78</v>
      </c>
      <c r="I97" s="158">
        <f t="shared" ref="I97:L97" si="33">SUM(I98:I99)</f>
        <v>-3273.6739319469752</v>
      </c>
      <c r="J97" s="156">
        <f t="shared" si="33"/>
        <v>-13178.374384220462</v>
      </c>
      <c r="K97" s="156">
        <f t="shared" si="33"/>
        <v>-25489.930991700465</v>
      </c>
      <c r="L97" s="157">
        <f t="shared" si="33"/>
        <v>-24361.031268226787</v>
      </c>
      <c r="N97" s="23"/>
      <c r="O97" s="23"/>
      <c r="P97" s="23"/>
      <c r="Q97" s="23"/>
      <c r="R97" s="23"/>
      <c r="S97" s="23"/>
      <c r="T97" s="23"/>
      <c r="U97" s="23"/>
      <c r="V97" s="23"/>
    </row>
    <row r="98" spans="1:22" ht="13.5" customHeight="1" x14ac:dyDescent="0.25">
      <c r="A98" s="146" t="s">
        <v>8</v>
      </c>
      <c r="B98" s="149">
        <v>14691</v>
      </c>
      <c r="C98" s="149">
        <v>29277</v>
      </c>
      <c r="D98" s="149">
        <v>43780</v>
      </c>
      <c r="E98" s="151">
        <v>44151</v>
      </c>
      <c r="H98" s="146" t="s">
        <v>8</v>
      </c>
      <c r="I98" s="33">
        <f>ESA2010_jun26!C99-A_RVS_26_28!B98</f>
        <v>-6040.0479537674946</v>
      </c>
      <c r="J98" s="33">
        <f>ESA2010_jun26!D99-A_RVS_26_28!C98</f>
        <v>-16710</v>
      </c>
      <c r="K98" s="33">
        <f>ESA2010_jun26!E99-A_RVS_26_28!D98</f>
        <v>-29524</v>
      </c>
      <c r="L98" s="26">
        <f>ESA2010_jun26!F99-A_RVS_26_28!E98</f>
        <v>-28745</v>
      </c>
      <c r="N98" s="23"/>
      <c r="O98" s="23"/>
      <c r="P98" s="23"/>
      <c r="Q98" s="23"/>
      <c r="R98" s="23"/>
      <c r="S98" s="23"/>
      <c r="T98" s="23"/>
      <c r="U98" s="23"/>
      <c r="V98" s="23"/>
    </row>
    <row r="99" spans="1:22" ht="13.5" customHeight="1" thickBot="1" x14ac:dyDescent="0.3">
      <c r="A99" s="159" t="s">
        <v>9</v>
      </c>
      <c r="B99" s="160">
        <v>5338.2304635866003</v>
      </c>
      <c r="C99" s="160">
        <v>5662.3743842204622</v>
      </c>
      <c r="D99" s="160">
        <v>5901.9309917004657</v>
      </c>
      <c r="E99" s="162">
        <v>5922.0312682267859</v>
      </c>
      <c r="H99" s="159" t="s">
        <v>9</v>
      </c>
      <c r="I99" s="33">
        <f>ESA2010_jun26!C100-A_RVS_26_28!B99</f>
        <v>2766.3740218205194</v>
      </c>
      <c r="J99" s="33">
        <f>ESA2010_jun26!D100-A_RVS_26_28!C99</f>
        <v>3531.6256157795378</v>
      </c>
      <c r="K99" s="33">
        <f>ESA2010_jun26!E100-A_RVS_26_28!D99</f>
        <v>4034.0690082995343</v>
      </c>
      <c r="L99" s="26">
        <f>ESA2010_jun26!F100-A_RVS_26_28!E99</f>
        <v>4383.9687317732141</v>
      </c>
      <c r="N99" s="23"/>
      <c r="O99" s="23"/>
      <c r="P99" s="23"/>
      <c r="Q99" s="23"/>
      <c r="R99" s="23"/>
      <c r="S99" s="23"/>
      <c r="T99" s="23"/>
      <c r="U99" s="23"/>
      <c r="V99" s="23"/>
    </row>
    <row r="100" spans="1:22" ht="13.5" customHeight="1" x14ac:dyDescent="0.25">
      <c r="A100" s="163" t="s">
        <v>79</v>
      </c>
      <c r="B100" s="133"/>
      <c r="C100" s="133"/>
      <c r="D100" s="133"/>
      <c r="E100" s="133"/>
    </row>
    <row r="101" spans="1:22" ht="13.5" customHeight="1" x14ac:dyDescent="0.25">
      <c r="A101" s="163" t="s">
        <v>80</v>
      </c>
      <c r="B101" s="133"/>
      <c r="C101" s="133"/>
      <c r="D101" s="133"/>
      <c r="E101" s="133"/>
      <c r="I101" s="133"/>
      <c r="J101" s="133"/>
      <c r="K101" s="133"/>
      <c r="L101" s="133"/>
    </row>
    <row r="102" spans="1:22" ht="13.5" customHeight="1" x14ac:dyDescent="0.25">
      <c r="A102" s="421" t="s">
        <v>81</v>
      </c>
      <c r="B102" s="421"/>
      <c r="C102" s="421"/>
      <c r="D102" s="421"/>
      <c r="E102" s="421"/>
      <c r="I102" s="133"/>
      <c r="J102" s="133"/>
      <c r="K102" s="133"/>
      <c r="L102" s="133"/>
    </row>
    <row r="103" spans="1:22" ht="13.5" customHeight="1" x14ac:dyDescent="0.25">
      <c r="A103" s="421"/>
      <c r="B103" s="421"/>
      <c r="C103" s="421"/>
      <c r="D103" s="421"/>
      <c r="E103" s="421"/>
      <c r="I103" s="133"/>
      <c r="J103" s="133"/>
      <c r="K103" s="133"/>
      <c r="L103" s="133"/>
    </row>
    <row r="104" spans="1:22" ht="13.5" customHeight="1" x14ac:dyDescent="0.25">
      <c r="A104" s="91"/>
      <c r="B104" s="164"/>
      <c r="C104" s="164"/>
      <c r="D104" s="164"/>
      <c r="E104" s="164"/>
      <c r="I104" s="133"/>
      <c r="J104" s="133"/>
      <c r="K104" s="133"/>
      <c r="L104" s="133"/>
    </row>
    <row r="105" spans="1:22" ht="13.5" customHeight="1" x14ac:dyDescent="0.3">
      <c r="A105" s="402"/>
      <c r="B105" s="164"/>
      <c r="C105" s="164"/>
      <c r="D105" s="164"/>
      <c r="E105" s="164"/>
      <c r="I105" s="133"/>
      <c r="J105" s="133"/>
      <c r="K105" s="133"/>
      <c r="L105" s="133"/>
    </row>
    <row r="106" spans="1:22" ht="13.5" customHeight="1" x14ac:dyDescent="0.3">
      <c r="A106" s="402"/>
      <c r="B106" s="164"/>
      <c r="C106" s="164"/>
      <c r="D106" s="164"/>
      <c r="E106" s="164"/>
      <c r="I106" s="133"/>
      <c r="J106" s="133"/>
      <c r="K106" s="133"/>
      <c r="L106" s="133"/>
    </row>
    <row r="107" spans="1:22" ht="13.5" customHeight="1" x14ac:dyDescent="0.25">
      <c r="B107" s="164"/>
      <c r="C107" s="164"/>
      <c r="D107" s="164"/>
      <c r="E107" s="164"/>
      <c r="I107" s="133"/>
      <c r="J107" s="133"/>
      <c r="K107" s="133"/>
      <c r="L107" s="133"/>
    </row>
    <row r="108" spans="1:22" ht="13.5" customHeight="1" x14ac:dyDescent="0.25">
      <c r="B108" s="164"/>
      <c r="C108" s="164"/>
      <c r="D108" s="164"/>
      <c r="E108" s="164"/>
      <c r="F108" s="164"/>
      <c r="I108" s="133"/>
      <c r="J108" s="133"/>
      <c r="K108" s="133"/>
      <c r="L108" s="133"/>
    </row>
    <row r="109" spans="1:22" ht="13.5" customHeight="1" x14ac:dyDescent="0.25">
      <c r="B109" s="164"/>
      <c r="C109" s="164"/>
      <c r="D109" s="164"/>
      <c r="E109" s="164"/>
      <c r="I109" s="133"/>
      <c r="J109" s="133"/>
      <c r="K109" s="133"/>
      <c r="L109" s="133"/>
    </row>
    <row r="110" spans="1:22" ht="13.5" customHeight="1" x14ac:dyDescent="0.25">
      <c r="B110" s="164"/>
      <c r="C110" s="164"/>
      <c r="D110" s="164"/>
      <c r="E110" s="164"/>
      <c r="I110" s="133"/>
      <c r="J110" s="133"/>
      <c r="K110" s="133"/>
      <c r="L110" s="133"/>
    </row>
    <row r="111" spans="1:22" ht="13.5" customHeight="1" x14ac:dyDescent="0.25">
      <c r="B111" s="164"/>
      <c r="C111" s="164"/>
      <c r="D111" s="164"/>
      <c r="E111" s="164"/>
      <c r="I111" s="133"/>
      <c r="J111" s="133"/>
      <c r="K111" s="133"/>
      <c r="L111" s="133"/>
    </row>
    <row r="112" spans="1:22" ht="13.5" customHeight="1" x14ac:dyDescent="0.25">
      <c r="B112" s="164"/>
      <c r="C112" s="164"/>
      <c r="D112" s="164"/>
      <c r="E112" s="164"/>
      <c r="I112" s="133"/>
      <c r="J112" s="133"/>
      <c r="K112" s="133"/>
      <c r="L112" s="133"/>
    </row>
    <row r="113" spans="2:12" ht="13.5" customHeight="1" x14ac:dyDescent="0.25">
      <c r="B113" s="164"/>
      <c r="C113" s="164"/>
      <c r="D113" s="164"/>
      <c r="E113" s="164"/>
      <c r="I113" s="133"/>
      <c r="J113" s="133"/>
      <c r="K113" s="133"/>
      <c r="L113" s="133"/>
    </row>
    <row r="114" spans="2:12" ht="13.5" customHeight="1" x14ac:dyDescent="0.25">
      <c r="B114" s="164"/>
      <c r="C114" s="164"/>
      <c r="D114" s="164"/>
      <c r="E114" s="164"/>
    </row>
    <row r="115" spans="2:12" ht="13.5" customHeight="1" x14ac:dyDescent="0.25">
      <c r="B115" s="164"/>
      <c r="C115" s="164"/>
      <c r="D115" s="164"/>
      <c r="E115" s="164"/>
    </row>
    <row r="116" spans="2:12" ht="13.5" customHeight="1" x14ac:dyDescent="0.25">
      <c r="B116" s="164"/>
      <c r="C116" s="164"/>
      <c r="D116" s="164"/>
      <c r="E116" s="164"/>
    </row>
    <row r="117" spans="2:12" ht="13.5" customHeight="1" x14ac:dyDescent="0.25">
      <c r="B117" s="164"/>
      <c r="C117" s="164"/>
      <c r="D117" s="164"/>
      <c r="E117" s="164"/>
    </row>
    <row r="118" spans="2:12" ht="13.5" customHeight="1" x14ac:dyDescent="0.25">
      <c r="B118" s="164"/>
      <c r="C118" s="164"/>
      <c r="D118" s="164"/>
      <c r="E118" s="164"/>
    </row>
    <row r="119" spans="2:12" ht="13.5" customHeight="1" x14ac:dyDescent="0.25">
      <c r="B119" s="164"/>
      <c r="C119" s="164"/>
      <c r="D119" s="164"/>
      <c r="E119" s="164"/>
    </row>
    <row r="120" spans="2:12" ht="13.5" customHeight="1" x14ac:dyDescent="0.25">
      <c r="B120" s="164"/>
      <c r="C120" s="164"/>
      <c r="D120" s="164"/>
      <c r="E120" s="164"/>
    </row>
    <row r="121" spans="2:12" ht="13.5" customHeight="1" x14ac:dyDescent="0.25">
      <c r="B121" s="164"/>
      <c r="C121" s="164"/>
      <c r="D121" s="164"/>
      <c r="E121" s="164"/>
    </row>
    <row r="122" spans="2:12" ht="13.5" customHeight="1" x14ac:dyDescent="0.25">
      <c r="B122" s="164"/>
      <c r="C122" s="164"/>
      <c r="D122" s="164"/>
      <c r="E122" s="164"/>
    </row>
    <row r="123" spans="2:12" ht="13.5" customHeight="1" x14ac:dyDescent="0.25">
      <c r="B123" s="164"/>
      <c r="C123" s="164"/>
      <c r="D123" s="164"/>
      <c r="E123" s="164"/>
    </row>
    <row r="124" spans="2:12" ht="13.5" customHeight="1" x14ac:dyDescent="0.25">
      <c r="B124" s="164"/>
      <c r="C124" s="164"/>
      <c r="D124" s="164"/>
      <c r="E124" s="164"/>
    </row>
    <row r="125" spans="2:12" ht="13.5" customHeight="1" x14ac:dyDescent="0.25">
      <c r="B125" s="164"/>
      <c r="C125" s="164"/>
      <c r="D125" s="164"/>
      <c r="E125" s="164"/>
    </row>
    <row r="126" spans="2:12" ht="13.5" customHeight="1" x14ac:dyDescent="0.25">
      <c r="B126" s="164"/>
      <c r="C126" s="164"/>
      <c r="D126" s="164"/>
      <c r="E126" s="164"/>
    </row>
    <row r="127" spans="2:12" ht="13.5" customHeight="1" x14ac:dyDescent="0.25">
      <c r="B127" s="164"/>
      <c r="C127" s="164"/>
      <c r="D127" s="164"/>
      <c r="E127" s="164"/>
    </row>
    <row r="128" spans="2:12" ht="13.5" customHeight="1" x14ac:dyDescent="0.25">
      <c r="B128" s="164"/>
      <c r="C128" s="164"/>
      <c r="D128" s="164"/>
      <c r="E128" s="164"/>
    </row>
    <row r="129" spans="2:5" ht="13.5" customHeight="1" x14ac:dyDescent="0.25">
      <c r="B129" s="164"/>
      <c r="C129" s="164"/>
      <c r="D129" s="164"/>
      <c r="E129" s="164"/>
    </row>
    <row r="130" spans="2:5" ht="13.5" customHeight="1" x14ac:dyDescent="0.25">
      <c r="B130" s="164"/>
      <c r="C130" s="164"/>
      <c r="D130" s="164"/>
      <c r="E130" s="164"/>
    </row>
    <row r="131" spans="2:5" ht="13.5" customHeight="1" x14ac:dyDescent="0.25">
      <c r="B131" s="164"/>
      <c r="C131" s="164"/>
      <c r="D131" s="164"/>
      <c r="E131" s="164"/>
    </row>
    <row r="132" spans="2:5" ht="13.5" customHeight="1" x14ac:dyDescent="0.25">
      <c r="B132" s="164"/>
      <c r="C132" s="164"/>
      <c r="D132" s="164"/>
      <c r="E132" s="164"/>
    </row>
    <row r="133" spans="2:5" ht="13.5" customHeight="1" x14ac:dyDescent="0.25">
      <c r="B133" s="164"/>
      <c r="C133" s="164"/>
      <c r="D133" s="164"/>
      <c r="E133" s="164"/>
    </row>
    <row r="134" spans="2:5" ht="13.5" customHeight="1" x14ac:dyDescent="0.25">
      <c r="B134" s="164"/>
      <c r="C134" s="164"/>
      <c r="D134" s="164"/>
      <c r="E134" s="164"/>
    </row>
    <row r="135" spans="2:5" ht="13.5" customHeight="1" x14ac:dyDescent="0.25">
      <c r="B135" s="164"/>
      <c r="C135" s="164"/>
      <c r="D135" s="164"/>
      <c r="E135" s="164"/>
    </row>
    <row r="136" spans="2:5" ht="13.5" customHeight="1" x14ac:dyDescent="0.25">
      <c r="B136" s="164"/>
      <c r="C136" s="164"/>
      <c r="D136" s="164"/>
      <c r="E136" s="164"/>
    </row>
    <row r="137" spans="2:5" ht="13.5" customHeight="1" x14ac:dyDescent="0.25">
      <c r="B137" s="164"/>
      <c r="C137" s="164"/>
      <c r="D137" s="164"/>
      <c r="E137" s="164"/>
    </row>
    <row r="138" spans="2:5" ht="13.5" customHeight="1" x14ac:dyDescent="0.25">
      <c r="B138" s="164"/>
      <c r="C138" s="164"/>
      <c r="D138" s="164"/>
      <c r="E138" s="164"/>
    </row>
    <row r="139" spans="2:5" ht="13.5" customHeight="1" x14ac:dyDescent="0.25">
      <c r="B139" s="164"/>
      <c r="C139" s="164"/>
      <c r="D139" s="164"/>
      <c r="E139" s="164"/>
    </row>
    <row r="140" spans="2:5" ht="13.5" customHeight="1" x14ac:dyDescent="0.25">
      <c r="B140" s="164"/>
      <c r="C140" s="164"/>
      <c r="D140" s="164"/>
      <c r="E140" s="164"/>
    </row>
    <row r="141" spans="2:5" ht="13.5" customHeight="1" x14ac:dyDescent="0.25">
      <c r="B141" s="164"/>
      <c r="C141" s="164"/>
      <c r="D141" s="164"/>
      <c r="E141" s="164"/>
    </row>
    <row r="142" spans="2:5" ht="13.5" customHeight="1" x14ac:dyDescent="0.25">
      <c r="B142" s="164"/>
      <c r="C142" s="164"/>
      <c r="D142" s="164"/>
      <c r="E142" s="164"/>
    </row>
    <row r="143" spans="2:5" ht="13.5" customHeight="1" x14ac:dyDescent="0.25">
      <c r="B143" s="164"/>
      <c r="C143" s="164"/>
      <c r="D143" s="164"/>
      <c r="E143" s="164"/>
    </row>
    <row r="144" spans="2:5" ht="13.5" customHeight="1" x14ac:dyDescent="0.25">
      <c r="B144" s="164"/>
      <c r="C144" s="164"/>
      <c r="D144" s="164"/>
      <c r="E144" s="164"/>
    </row>
    <row r="145" spans="2:5" ht="13.5" customHeight="1" x14ac:dyDescent="0.25">
      <c r="B145" s="164"/>
      <c r="C145" s="164"/>
      <c r="D145" s="164"/>
      <c r="E145" s="164"/>
    </row>
    <row r="146" spans="2:5" ht="13.5" customHeight="1" x14ac:dyDescent="0.25">
      <c r="B146" s="164"/>
      <c r="C146" s="164"/>
      <c r="D146" s="164"/>
      <c r="E146" s="164"/>
    </row>
    <row r="147" spans="2:5" ht="13.5" customHeight="1" x14ac:dyDescent="0.25">
      <c r="B147" s="164"/>
      <c r="C147" s="164"/>
      <c r="D147" s="164"/>
      <c r="E147" s="164"/>
    </row>
    <row r="148" spans="2:5" ht="13.5" customHeight="1" x14ac:dyDescent="0.25">
      <c r="B148" s="164"/>
      <c r="C148" s="164"/>
      <c r="D148" s="164"/>
      <c r="E148" s="164"/>
    </row>
    <row r="149" spans="2:5" ht="13.5" customHeight="1" x14ac:dyDescent="0.25">
      <c r="B149" s="164"/>
      <c r="C149" s="164"/>
      <c r="D149" s="164"/>
      <c r="E149" s="164"/>
    </row>
    <row r="150" spans="2:5" ht="13.5" customHeight="1" x14ac:dyDescent="0.25">
      <c r="B150" s="164"/>
      <c r="C150" s="164"/>
      <c r="D150" s="164"/>
      <c r="E150" s="164"/>
    </row>
    <row r="151" spans="2:5" ht="13.5" customHeight="1" x14ac:dyDescent="0.25">
      <c r="B151" s="164"/>
      <c r="C151" s="164"/>
      <c r="D151" s="164"/>
      <c r="E151" s="164"/>
    </row>
    <row r="152" spans="2:5" ht="13.5" customHeight="1" x14ac:dyDescent="0.25">
      <c r="B152" s="164"/>
      <c r="C152" s="164"/>
      <c r="D152" s="164"/>
      <c r="E152" s="164"/>
    </row>
    <row r="153" spans="2:5" ht="13.5" customHeight="1" x14ac:dyDescent="0.25">
      <c r="B153" s="164"/>
      <c r="C153" s="164"/>
      <c r="D153" s="164"/>
      <c r="E153" s="164"/>
    </row>
    <row r="154" spans="2:5" ht="13.5" customHeight="1" x14ac:dyDescent="0.25">
      <c r="B154" s="164"/>
      <c r="C154" s="164"/>
      <c r="D154" s="164"/>
      <c r="E154" s="164"/>
    </row>
    <row r="155" spans="2:5" ht="13.5" customHeight="1" x14ac:dyDescent="0.25">
      <c r="B155" s="164"/>
      <c r="C155" s="164"/>
      <c r="D155" s="164"/>
      <c r="E155" s="164"/>
    </row>
    <row r="156" spans="2:5" ht="13.5" customHeight="1" x14ac:dyDescent="0.25">
      <c r="B156" s="164"/>
      <c r="C156" s="164"/>
      <c r="D156" s="164"/>
      <c r="E156" s="164"/>
    </row>
    <row r="157" spans="2:5" ht="13.5" customHeight="1" x14ac:dyDescent="0.25">
      <c r="B157" s="164"/>
      <c r="C157" s="164"/>
      <c r="D157" s="164"/>
      <c r="E157" s="164"/>
    </row>
    <row r="158" spans="2:5" ht="13.5" customHeight="1" x14ac:dyDescent="0.25">
      <c r="B158" s="164"/>
      <c r="C158" s="164"/>
      <c r="D158" s="164"/>
      <c r="E158" s="164"/>
    </row>
    <row r="159" spans="2:5" ht="13.5" customHeight="1" x14ac:dyDescent="0.25">
      <c r="B159" s="164"/>
      <c r="C159" s="164"/>
      <c r="D159" s="164"/>
      <c r="E159" s="164"/>
    </row>
    <row r="160" spans="2:5" ht="13.5" customHeight="1" x14ac:dyDescent="0.25">
      <c r="B160" s="164"/>
      <c r="C160" s="164"/>
      <c r="D160" s="164"/>
      <c r="E160" s="164"/>
    </row>
    <row r="161" spans="2:5" ht="13.5" customHeight="1" x14ac:dyDescent="0.25">
      <c r="B161" s="164"/>
      <c r="C161" s="164"/>
      <c r="D161" s="164"/>
      <c r="E161" s="164"/>
    </row>
    <row r="162" spans="2:5" ht="13.5" customHeight="1" x14ac:dyDescent="0.25">
      <c r="B162" s="164"/>
      <c r="C162" s="164"/>
      <c r="D162" s="164"/>
      <c r="E162" s="164"/>
    </row>
    <row r="163" spans="2:5" ht="13.5" customHeight="1" x14ac:dyDescent="0.25">
      <c r="B163" s="164"/>
      <c r="C163" s="164"/>
      <c r="D163" s="164"/>
      <c r="E163" s="164"/>
    </row>
    <row r="164" spans="2:5" ht="13.5" customHeight="1" x14ac:dyDescent="0.25">
      <c r="B164" s="164"/>
      <c r="C164" s="164"/>
      <c r="D164" s="164"/>
      <c r="E164" s="164"/>
    </row>
    <row r="165" spans="2:5" ht="13.5" customHeight="1" x14ac:dyDescent="0.25">
      <c r="B165" s="164"/>
      <c r="C165" s="164"/>
      <c r="D165" s="164"/>
      <c r="E165" s="164"/>
    </row>
    <row r="166" spans="2:5" ht="13.5" customHeight="1" x14ac:dyDescent="0.25">
      <c r="B166" s="164"/>
      <c r="C166" s="164"/>
      <c r="D166" s="164"/>
      <c r="E166" s="164"/>
    </row>
    <row r="167" spans="2:5" ht="13.5" customHeight="1" x14ac:dyDescent="0.25">
      <c r="B167" s="164"/>
      <c r="C167" s="164"/>
      <c r="D167" s="164"/>
      <c r="E167" s="164"/>
    </row>
    <row r="168" spans="2:5" ht="13.5" customHeight="1" x14ac:dyDescent="0.25">
      <c r="B168" s="164"/>
      <c r="C168" s="164"/>
      <c r="D168" s="164"/>
      <c r="E168" s="164"/>
    </row>
    <row r="169" spans="2:5" ht="13.5" customHeight="1" x14ac:dyDescent="0.25">
      <c r="B169" s="164"/>
      <c r="C169" s="164"/>
      <c r="D169" s="164"/>
      <c r="E169" s="164"/>
    </row>
    <row r="170" spans="2:5" ht="13.5" customHeight="1" x14ac:dyDescent="0.25">
      <c r="B170" s="164"/>
      <c r="C170" s="164"/>
      <c r="D170" s="164"/>
      <c r="E170" s="164"/>
    </row>
    <row r="171" spans="2:5" ht="13.5" customHeight="1" x14ac:dyDescent="0.25">
      <c r="B171" s="164"/>
      <c r="C171" s="164"/>
      <c r="D171" s="164"/>
      <c r="E171" s="164"/>
    </row>
    <row r="172" spans="2:5" ht="13.5" customHeight="1" x14ac:dyDescent="0.25">
      <c r="B172" s="164"/>
      <c r="C172" s="164"/>
      <c r="D172" s="164"/>
      <c r="E172" s="164"/>
    </row>
    <row r="173" spans="2:5" ht="13.5" customHeight="1" x14ac:dyDescent="0.25">
      <c r="B173" s="164">
        <v>0</v>
      </c>
      <c r="C173" s="164">
        <v>0</v>
      </c>
      <c r="D173" s="164">
        <v>0</v>
      </c>
      <c r="E173" s="164">
        <v>0</v>
      </c>
    </row>
    <row r="174" spans="2:5" ht="13.5" customHeight="1" x14ac:dyDescent="0.25">
      <c r="B174" s="164">
        <v>0</v>
      </c>
      <c r="C174" s="164">
        <v>0</v>
      </c>
      <c r="D174" s="164">
        <v>0</v>
      </c>
      <c r="E174" s="164">
        <v>0</v>
      </c>
    </row>
    <row r="175" spans="2:5" ht="13.5" customHeight="1" x14ac:dyDescent="0.25">
      <c r="B175" s="164">
        <v>0</v>
      </c>
      <c r="C175" s="164">
        <v>0</v>
      </c>
      <c r="D175" s="164">
        <v>0</v>
      </c>
      <c r="E175" s="164">
        <v>0</v>
      </c>
    </row>
    <row r="176" spans="2:5" ht="13.5" customHeight="1" x14ac:dyDescent="0.25">
      <c r="B176" s="164">
        <v>0</v>
      </c>
      <c r="C176" s="164">
        <v>0</v>
      </c>
      <c r="D176" s="164">
        <v>0</v>
      </c>
      <c r="E176" s="164">
        <v>0</v>
      </c>
    </row>
    <row r="177" spans="2:5" ht="13.5" customHeight="1" x14ac:dyDescent="0.25">
      <c r="B177" s="164"/>
      <c r="C177" s="164"/>
      <c r="D177" s="164"/>
      <c r="E177" s="164"/>
    </row>
    <row r="178" spans="2:5" ht="13.5" customHeight="1" x14ac:dyDescent="0.25">
      <c r="B178" s="164"/>
      <c r="C178" s="164"/>
      <c r="D178" s="164"/>
      <c r="E178" s="164"/>
    </row>
    <row r="179" spans="2:5" ht="13.5" customHeight="1" x14ac:dyDescent="0.25">
      <c r="B179" s="164"/>
      <c r="C179" s="164"/>
      <c r="D179" s="164"/>
      <c r="E179" s="164"/>
    </row>
    <row r="180" spans="2:5" ht="13.5" customHeight="1" x14ac:dyDescent="0.25">
      <c r="B180" s="164"/>
      <c r="C180" s="164"/>
      <c r="D180" s="164"/>
      <c r="E180" s="164"/>
    </row>
    <row r="181" spans="2:5" ht="13.5" customHeight="1" x14ac:dyDescent="0.25">
      <c r="B181" s="164"/>
      <c r="C181" s="164"/>
      <c r="D181" s="164"/>
      <c r="E181" s="164"/>
    </row>
    <row r="182" spans="2:5" ht="13.5" customHeight="1" x14ac:dyDescent="0.25">
      <c r="B182" s="164"/>
      <c r="C182" s="164"/>
      <c r="D182" s="164"/>
      <c r="E182" s="164"/>
    </row>
    <row r="183" spans="2:5" ht="13.5" customHeight="1" x14ac:dyDescent="0.25">
      <c r="B183" s="164"/>
      <c r="C183" s="164"/>
      <c r="D183" s="164"/>
      <c r="E183" s="164"/>
    </row>
    <row r="184" spans="2:5" ht="13.5" customHeight="1" x14ac:dyDescent="0.25">
      <c r="B184" s="164"/>
      <c r="C184" s="164"/>
      <c r="D184" s="164"/>
      <c r="E184" s="164"/>
    </row>
    <row r="185" spans="2:5" ht="13.5" customHeight="1" x14ac:dyDescent="0.25">
      <c r="B185" s="164"/>
      <c r="C185" s="164"/>
      <c r="D185" s="164"/>
      <c r="E185" s="164"/>
    </row>
    <row r="186" spans="2:5" ht="13.5" customHeight="1" x14ac:dyDescent="0.25">
      <c r="B186" s="164"/>
      <c r="C186" s="164"/>
      <c r="D186" s="164"/>
      <c r="E186" s="164"/>
    </row>
    <row r="187" spans="2:5" ht="13.5" customHeight="1" x14ac:dyDescent="0.25">
      <c r="B187" s="164"/>
      <c r="C187" s="164"/>
      <c r="D187" s="164"/>
      <c r="E187" s="164"/>
    </row>
    <row r="188" spans="2:5" ht="13.5" customHeight="1" x14ac:dyDescent="0.25">
      <c r="B188" s="164"/>
      <c r="C188" s="164"/>
      <c r="D188" s="164"/>
      <c r="E188" s="164"/>
    </row>
    <row r="189" spans="2:5" ht="13.5" customHeight="1" x14ac:dyDescent="0.25">
      <c r="B189" s="164"/>
      <c r="C189" s="164"/>
      <c r="D189" s="164"/>
      <c r="E189" s="164"/>
    </row>
    <row r="190" spans="2:5" ht="13.5" customHeight="1" x14ac:dyDescent="0.25">
      <c r="B190" s="164"/>
      <c r="C190" s="164"/>
      <c r="D190" s="164"/>
      <c r="E190" s="164"/>
    </row>
  </sheetData>
  <mergeCells count="3">
    <mergeCell ref="B3:E3"/>
    <mergeCell ref="I3:L3"/>
    <mergeCell ref="A102:E10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4"/>
  <sheetViews>
    <sheetView showGridLines="0" workbookViewId="0">
      <pane xSplit="1" ySplit="4" topLeftCell="B5" activePane="bottomRight" state="frozen"/>
      <selection activeCell="K44" sqref="K44"/>
      <selection pane="topRight" activeCell="K44" sqref="K44"/>
      <selection pane="bottomLeft" activeCell="K44" sqref="K44"/>
      <selection pane="bottomRight" activeCell="C19" sqref="C19:E19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98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434" t="s">
        <v>4</v>
      </c>
      <c r="C3" s="435"/>
      <c r="D3" s="435"/>
      <c r="E3" s="436"/>
      <c r="H3" s="11" t="s">
        <v>1</v>
      </c>
      <c r="I3" s="431" t="s">
        <v>4</v>
      </c>
      <c r="J3" s="432"/>
      <c r="K3" s="432"/>
      <c r="L3" s="433"/>
    </row>
    <row r="4" spans="1:13" ht="14.25" customHeight="1" thickBot="1" x14ac:dyDescent="0.3">
      <c r="A4" s="12"/>
      <c r="B4" s="166">
        <v>2025</v>
      </c>
      <c r="C4" s="168">
        <v>2026</v>
      </c>
      <c r="D4" s="168">
        <v>2027</v>
      </c>
      <c r="E4" s="167">
        <v>2028</v>
      </c>
      <c r="H4" s="12"/>
      <c r="I4" s="166">
        <v>2025</v>
      </c>
      <c r="J4" s="168">
        <v>2026</v>
      </c>
      <c r="K4" s="168">
        <v>2027</v>
      </c>
      <c r="L4" s="167">
        <v>2028</v>
      </c>
    </row>
    <row r="5" spans="1:13" ht="13.5" customHeight="1" x14ac:dyDescent="0.25">
      <c r="A5" s="16" t="s">
        <v>5</v>
      </c>
      <c r="B5" s="169">
        <f>B6+B12+B17+B16</f>
        <v>9402285</v>
      </c>
      <c r="C5" s="70">
        <f t="shared" ref="C5:E5" si="0">C6+C12+C17+C16</f>
        <v>10275920</v>
      </c>
      <c r="D5" s="70">
        <f t="shared" si="0"/>
        <v>10802757</v>
      </c>
      <c r="E5" s="71">
        <f t="shared" si="0"/>
        <v>11044596</v>
      </c>
      <c r="F5" s="22"/>
      <c r="G5" s="184"/>
      <c r="H5" s="16" t="s">
        <v>5</v>
      </c>
      <c r="I5" s="20">
        <f>I6+I12+I17+I16</f>
        <v>-152091.92961000081</v>
      </c>
      <c r="J5" s="20">
        <f t="shared" ref="J5:L5" si="1">J6+J12+J17+J16</f>
        <v>-399774</v>
      </c>
      <c r="K5" s="20">
        <f t="shared" si="1"/>
        <v>-581686</v>
      </c>
      <c r="L5" s="18">
        <f t="shared" si="1"/>
        <v>-340244</v>
      </c>
    </row>
    <row r="6" spans="1:13" ht="13.5" customHeight="1" x14ac:dyDescent="0.25">
      <c r="A6" s="24" t="s">
        <v>7</v>
      </c>
      <c r="B6" s="170">
        <f t="shared" ref="B6:E6" si="2">+B7+B8</f>
        <v>4113623</v>
      </c>
      <c r="C6" s="28">
        <f t="shared" si="2"/>
        <v>4566273</v>
      </c>
      <c r="D6" s="28">
        <f t="shared" si="2"/>
        <v>4796333</v>
      </c>
      <c r="E6" s="26">
        <f t="shared" si="2"/>
        <v>5037690</v>
      </c>
      <c r="F6" s="22"/>
      <c r="G6" s="184"/>
      <c r="H6" s="24" t="s">
        <v>7</v>
      </c>
      <c r="I6" s="28">
        <f t="shared" ref="I6:L6" si="3">I7+I8</f>
        <v>-5505.0298300003633</v>
      </c>
      <c r="J6" s="28">
        <f t="shared" si="3"/>
        <v>7753</v>
      </c>
      <c r="K6" s="28">
        <f t="shared" si="3"/>
        <v>4968</v>
      </c>
      <c r="L6" s="26">
        <f t="shared" si="3"/>
        <v>33996</v>
      </c>
    </row>
    <row r="7" spans="1:13" ht="13.5" customHeight="1" x14ac:dyDescent="0.25">
      <c r="A7" s="29" t="s">
        <v>8</v>
      </c>
      <c r="B7" s="240">
        <v>4279253</v>
      </c>
      <c r="C7" s="242">
        <v>4609233</v>
      </c>
      <c r="D7" s="242">
        <v>4815896</v>
      </c>
      <c r="E7" s="241">
        <v>5063083</v>
      </c>
      <c r="F7" s="22"/>
      <c r="G7" s="184"/>
      <c r="H7" s="29" t="s">
        <v>8</v>
      </c>
      <c r="I7" s="33">
        <f>CASH_jun26!C7-C_RVS_26_28!B7</f>
        <v>-7741.5670100003481</v>
      </c>
      <c r="J7" s="33">
        <f>CASH_jun26!D7-C_RVS_26_28!C7</f>
        <v>11866</v>
      </c>
      <c r="K7" s="34">
        <f>CASH_jun26!E7-C_RVS_26_28!D7</f>
        <v>6478</v>
      </c>
      <c r="L7" s="35">
        <f>CASH_jun26!F7-C_RVS_26_28!E7</f>
        <v>33108</v>
      </c>
    </row>
    <row r="8" spans="1:13" ht="13.5" customHeight="1" x14ac:dyDescent="0.25">
      <c r="A8" s="29" t="s">
        <v>9</v>
      </c>
      <c r="B8" s="240">
        <v>-165630</v>
      </c>
      <c r="C8" s="242">
        <v>-42960</v>
      </c>
      <c r="D8" s="242">
        <v>-19563</v>
      </c>
      <c r="E8" s="241">
        <v>-25393</v>
      </c>
      <c r="F8" s="22"/>
      <c r="G8" s="184"/>
      <c r="H8" s="29" t="s">
        <v>9</v>
      </c>
      <c r="I8" s="33">
        <f>CASH_jun26!C8-C_RVS_26_28!B8</f>
        <v>2236.5371799999848</v>
      </c>
      <c r="J8" s="33">
        <f>CASH_jun26!D8-C_RVS_26_28!C8</f>
        <v>-4113</v>
      </c>
      <c r="K8" s="34">
        <f>CASH_jun26!E8-C_RVS_26_28!D8</f>
        <v>-1510</v>
      </c>
      <c r="L8" s="35">
        <f>CASH_jun26!F8-C_RVS_26_28!E8</f>
        <v>888</v>
      </c>
    </row>
    <row r="9" spans="1:13" ht="13.5" customHeight="1" x14ac:dyDescent="0.25">
      <c r="A9" s="36" t="s">
        <v>10</v>
      </c>
      <c r="B9" s="243">
        <f t="shared" ref="B9:E9" si="4">+B7+B8-B10-B11</f>
        <v>673318</v>
      </c>
      <c r="C9" s="244">
        <f t="shared" si="4"/>
        <v>783666</v>
      </c>
      <c r="D9" s="242">
        <f t="shared" si="4"/>
        <v>897181</v>
      </c>
      <c r="E9" s="241">
        <f t="shared" si="4"/>
        <v>930769</v>
      </c>
      <c r="F9" s="22"/>
      <c r="G9" s="184"/>
      <c r="H9" s="36" t="s">
        <v>10</v>
      </c>
      <c r="I9" s="33">
        <f>CASH_jun26!C9-C_RVS_26_28!B9</f>
        <v>805.21343999961391</v>
      </c>
      <c r="J9" s="33">
        <f>CASH_jun26!D9-C_RVS_26_28!C9</f>
        <v>26268</v>
      </c>
      <c r="K9" s="34">
        <f>CASH_jun26!E9-C_RVS_26_28!D9</f>
        <v>-62816</v>
      </c>
      <c r="L9" s="35">
        <f>CASH_jun26!F9-C_RVS_26_28!E9</f>
        <v>-21476</v>
      </c>
      <c r="M9" s="23"/>
    </row>
    <row r="10" spans="1:13" ht="13.5" customHeight="1" x14ac:dyDescent="0.25">
      <c r="A10" s="36" t="s">
        <v>11</v>
      </c>
      <c r="B10" s="240">
        <v>2241731</v>
      </c>
      <c r="C10" s="242">
        <v>2456951</v>
      </c>
      <c r="D10" s="242">
        <v>2532537</v>
      </c>
      <c r="E10" s="241">
        <v>2667485</v>
      </c>
      <c r="F10" s="22"/>
      <c r="G10" s="184"/>
      <c r="H10" s="36" t="s">
        <v>11</v>
      </c>
      <c r="I10" s="33">
        <f>CASH_jun26!C10-C_RVS_26_28!B10</f>
        <v>-4109.9429899998941</v>
      </c>
      <c r="J10" s="33">
        <f>CASH_jun26!D10-C_RVS_26_28!C10</f>
        <v>-12023</v>
      </c>
      <c r="K10" s="34">
        <f>CASH_jun26!E10-C_RVS_26_28!D10</f>
        <v>22286</v>
      </c>
      <c r="L10" s="35">
        <f>CASH_jun26!F10-C_RVS_26_28!E10</f>
        <v>13035</v>
      </c>
    </row>
    <row r="11" spans="1:13" ht="13.5" customHeight="1" x14ac:dyDescent="0.25">
      <c r="A11" s="36" t="s">
        <v>12</v>
      </c>
      <c r="B11" s="240">
        <v>1198574</v>
      </c>
      <c r="C11" s="242">
        <v>1325656</v>
      </c>
      <c r="D11" s="242">
        <v>1366615</v>
      </c>
      <c r="E11" s="241">
        <v>1439436</v>
      </c>
      <c r="F11" s="22"/>
      <c r="G11" s="184"/>
      <c r="H11" s="36" t="s">
        <v>12</v>
      </c>
      <c r="I11" s="33">
        <f>CASH_jun26!C11-C_RVS_26_28!B11</f>
        <v>-2200.3002800000831</v>
      </c>
      <c r="J11" s="33">
        <f>CASH_jun26!D11-C_RVS_26_28!C11</f>
        <v>-6492</v>
      </c>
      <c r="K11" s="34">
        <f>CASH_jun26!E11-C_RVS_26_28!D11</f>
        <v>45498</v>
      </c>
      <c r="L11" s="35">
        <f>CASH_jun26!F11-C_RVS_26_28!E11</f>
        <v>42437</v>
      </c>
    </row>
    <row r="12" spans="1:13" ht="13.5" customHeight="1" x14ac:dyDescent="0.25">
      <c r="A12" s="24" t="s">
        <v>14</v>
      </c>
      <c r="B12" s="240">
        <v>4747686</v>
      </c>
      <c r="C12" s="242">
        <v>5150274</v>
      </c>
      <c r="D12" s="242">
        <v>5398894</v>
      </c>
      <c r="E12" s="241">
        <v>5394464</v>
      </c>
      <c r="F12" s="22"/>
      <c r="G12" s="184"/>
      <c r="H12" s="24" t="s">
        <v>14</v>
      </c>
      <c r="I12" s="33">
        <f>CASH_jun26!C12-C_RVS_26_28!B12</f>
        <v>-155261.64352000039</v>
      </c>
      <c r="J12" s="33">
        <f>CASH_jun26!D12-C_RVS_26_28!C12</f>
        <v>-426502</v>
      </c>
      <c r="K12" s="34">
        <f>CASH_jun26!E12-C_RVS_26_28!D12</f>
        <v>-607162</v>
      </c>
      <c r="L12" s="35">
        <f>CASH_jun26!F12-C_RVS_26_28!E12</f>
        <v>-398825</v>
      </c>
    </row>
    <row r="13" spans="1:13" ht="13.5" customHeight="1" x14ac:dyDescent="0.25">
      <c r="A13" s="36" t="s">
        <v>10</v>
      </c>
      <c r="B13" s="240">
        <f t="shared" ref="B13:E13" si="5">+B12-B14-B15</f>
        <v>4747686</v>
      </c>
      <c r="C13" s="242">
        <f t="shared" si="5"/>
        <v>5150274</v>
      </c>
      <c r="D13" s="242">
        <f t="shared" si="5"/>
        <v>5398894</v>
      </c>
      <c r="E13" s="241">
        <f t="shared" si="5"/>
        <v>5394464</v>
      </c>
      <c r="F13" s="22"/>
      <c r="G13" s="184"/>
      <c r="H13" s="36" t="s">
        <v>10</v>
      </c>
      <c r="I13" s="33">
        <f>CASH_jun26!C13-C_RVS_26_28!B13</f>
        <v>-155261.64352000039</v>
      </c>
      <c r="J13" s="33">
        <f>CASH_jun26!D13-C_RVS_26_28!C13</f>
        <v>-426502</v>
      </c>
      <c r="K13" s="34">
        <f>CASH_jun26!E13-C_RVS_26_28!D13</f>
        <v>-607162</v>
      </c>
      <c r="L13" s="35">
        <f>CASH_jun26!F13-C_RVS_26_28!E13</f>
        <v>-398825</v>
      </c>
    </row>
    <row r="14" spans="1:13" ht="13.5" customHeight="1" x14ac:dyDescent="0.25">
      <c r="A14" s="36" t="s">
        <v>11</v>
      </c>
      <c r="B14" s="240">
        <v>0</v>
      </c>
      <c r="C14" s="242">
        <v>0</v>
      </c>
      <c r="D14" s="242">
        <v>0</v>
      </c>
      <c r="E14" s="241">
        <v>0</v>
      </c>
      <c r="F14" s="22"/>
      <c r="G14" s="184"/>
      <c r="H14" s="36" t="s">
        <v>11</v>
      </c>
      <c r="I14" s="33">
        <f>CASH_jun26!C14-C_RVS_26_28!B14</f>
        <v>0</v>
      </c>
      <c r="J14" s="33">
        <f>CASH_jun26!D14-C_RVS_26_28!C14</f>
        <v>0</v>
      </c>
      <c r="K14" s="34">
        <f>CASH_jun26!E14-C_RVS_26_28!D14</f>
        <v>0</v>
      </c>
      <c r="L14" s="35">
        <f>CASH_jun26!F14-C_RVS_26_28!E14</f>
        <v>0</v>
      </c>
    </row>
    <row r="15" spans="1:13" ht="13.5" customHeight="1" x14ac:dyDescent="0.25">
      <c r="A15" s="36" t="s">
        <v>12</v>
      </c>
      <c r="B15" s="240">
        <v>0</v>
      </c>
      <c r="C15" s="242">
        <v>0</v>
      </c>
      <c r="D15" s="242">
        <v>0</v>
      </c>
      <c r="E15" s="241">
        <v>0</v>
      </c>
      <c r="F15" s="22"/>
      <c r="G15" s="184"/>
      <c r="H15" s="36" t="s">
        <v>12</v>
      </c>
      <c r="I15" s="33">
        <f>CASH_jun26!C15-C_RVS_26_28!B15</f>
        <v>0</v>
      </c>
      <c r="J15" s="33">
        <f>CASH_jun26!D15-C_RVS_26_28!C15</f>
        <v>0</v>
      </c>
      <c r="K15" s="34">
        <f>CASH_jun26!E15-C_RVS_26_28!D15</f>
        <v>0</v>
      </c>
      <c r="L15" s="35">
        <f>CASH_jun26!F15-C_RVS_26_28!E15</f>
        <v>0</v>
      </c>
    </row>
    <row r="16" spans="1:13" ht="13.5" customHeight="1" x14ac:dyDescent="0.25">
      <c r="A16" s="24" t="s">
        <v>95</v>
      </c>
      <c r="B16" s="240">
        <v>0</v>
      </c>
      <c r="C16" s="242">
        <v>48500</v>
      </c>
      <c r="D16" s="242">
        <v>48500</v>
      </c>
      <c r="E16" s="241">
        <v>48500</v>
      </c>
      <c r="F16" s="22"/>
      <c r="G16" s="184"/>
      <c r="H16" s="24" t="s">
        <v>95</v>
      </c>
      <c r="I16" s="33">
        <f>CASH_jun26!C16-C_RVS_26_28!B16</f>
        <v>0</v>
      </c>
      <c r="J16" s="33">
        <f>CASH_jun26!D16-C_RVS_26_28!C16</f>
        <v>0</v>
      </c>
      <c r="K16" s="34">
        <f>CASH_jun26!E16-C_RVS_26_28!D16</f>
        <v>0</v>
      </c>
      <c r="L16" s="35">
        <f>CASH_jun26!F16-C_RVS_26_28!E16</f>
        <v>0</v>
      </c>
    </row>
    <row r="17" spans="1:15" ht="13.5" customHeight="1" x14ac:dyDescent="0.25">
      <c r="A17" s="24" t="s">
        <v>15</v>
      </c>
      <c r="B17" s="240">
        <v>540976</v>
      </c>
      <c r="C17" s="242">
        <v>510873</v>
      </c>
      <c r="D17" s="242">
        <v>559030</v>
      </c>
      <c r="E17" s="241">
        <v>563942</v>
      </c>
      <c r="F17" s="227"/>
      <c r="G17" s="184"/>
      <c r="H17" s="24" t="s">
        <v>15</v>
      </c>
      <c r="I17" s="33">
        <f>CASH_jun26!C17-C_RVS_26_28!B17</f>
        <v>8674.7437399999471</v>
      </c>
      <c r="J17" s="33">
        <f>CASH_jun26!D17-C_RVS_26_28!C17</f>
        <v>18975</v>
      </c>
      <c r="K17" s="34">
        <f>CASH_jun26!E17-C_RVS_26_28!D17</f>
        <v>20508</v>
      </c>
      <c r="L17" s="35">
        <f>CASH_jun26!F17-C_RVS_26_28!E17</f>
        <v>24585</v>
      </c>
    </row>
    <row r="18" spans="1:15" ht="13.5" customHeight="1" x14ac:dyDescent="0.25">
      <c r="A18" s="41" t="s">
        <v>16</v>
      </c>
      <c r="B18" s="171">
        <f t="shared" ref="B18:E18" si="6">B19+B20</f>
        <v>13663053</v>
      </c>
      <c r="C18" s="45">
        <f t="shared" si="6"/>
        <v>15132863</v>
      </c>
      <c r="D18" s="45">
        <f t="shared" si="6"/>
        <v>14555285</v>
      </c>
      <c r="E18" s="43">
        <f t="shared" si="6"/>
        <v>15043953</v>
      </c>
      <c r="F18" s="222"/>
      <c r="G18" s="184"/>
      <c r="H18" s="41" t="s">
        <v>16</v>
      </c>
      <c r="I18" s="45">
        <f t="shared" ref="I18:L18" si="7">I19+I20</f>
        <v>-204356.50861999669</v>
      </c>
      <c r="J18" s="45">
        <f t="shared" si="7"/>
        <v>-648891</v>
      </c>
      <c r="K18" s="45">
        <f t="shared" si="7"/>
        <v>-183658</v>
      </c>
      <c r="L18" s="43">
        <f t="shared" si="7"/>
        <v>80175</v>
      </c>
    </row>
    <row r="19" spans="1:15" ht="13.5" customHeight="1" x14ac:dyDescent="0.25">
      <c r="A19" s="24" t="s">
        <v>17</v>
      </c>
      <c r="B19" s="170">
        <v>10893415</v>
      </c>
      <c r="C19" s="28">
        <v>12267875</v>
      </c>
      <c r="D19" s="28">
        <v>11614758</v>
      </c>
      <c r="E19" s="26">
        <v>11989265</v>
      </c>
      <c r="F19" s="222"/>
      <c r="G19" s="184"/>
      <c r="H19" s="24" t="s">
        <v>17</v>
      </c>
      <c r="I19" s="33">
        <f>CASH_jun26!C19-C_RVS_26_28!B19</f>
        <v>-194492.697929997</v>
      </c>
      <c r="J19" s="33">
        <f>CASH_jun26!D19-C_RVS_26_28!C19</f>
        <v>-663687</v>
      </c>
      <c r="K19" s="34">
        <f>CASH_jun26!E19-C_RVS_26_28!D19</f>
        <v>-146607</v>
      </c>
      <c r="L19" s="35">
        <f>CASH_jun26!F19-C_RVS_26_28!E19</f>
        <v>133379</v>
      </c>
      <c r="M19" s="22"/>
      <c r="N19" s="22"/>
      <c r="O19" s="22"/>
    </row>
    <row r="20" spans="1:15" ht="13.5" customHeight="1" x14ac:dyDescent="0.25">
      <c r="A20" s="24" t="s">
        <v>18</v>
      </c>
      <c r="B20" s="240">
        <f t="shared" ref="B20:E20" si="8">SUM(B21:B29)</f>
        <v>2769638</v>
      </c>
      <c r="C20" s="242">
        <f t="shared" si="8"/>
        <v>2864988</v>
      </c>
      <c r="D20" s="242">
        <f t="shared" si="8"/>
        <v>2940527</v>
      </c>
      <c r="E20" s="241">
        <f t="shared" si="8"/>
        <v>3054688</v>
      </c>
      <c r="F20" s="222"/>
      <c r="G20" s="184"/>
      <c r="H20" s="24" t="s">
        <v>18</v>
      </c>
      <c r="I20" s="33">
        <f t="shared" ref="I20:L20" si="9">SUM(I21:I29)</f>
        <v>-9863.8106899996837</v>
      </c>
      <c r="J20" s="33">
        <f t="shared" si="9"/>
        <v>14796</v>
      </c>
      <c r="K20" s="28">
        <f t="shared" si="9"/>
        <v>-37051</v>
      </c>
      <c r="L20" s="26">
        <f t="shared" si="9"/>
        <v>-53204</v>
      </c>
    </row>
    <row r="21" spans="1:15" ht="13.5" customHeight="1" x14ac:dyDescent="0.25">
      <c r="A21" s="29" t="s">
        <v>19</v>
      </c>
      <c r="B21" s="240">
        <v>1359350</v>
      </c>
      <c r="C21" s="242">
        <v>1374506</v>
      </c>
      <c r="D21" s="242">
        <v>1390071</v>
      </c>
      <c r="E21" s="241">
        <v>1411731</v>
      </c>
      <c r="F21" s="222"/>
      <c r="G21" s="184"/>
      <c r="H21" s="29" t="s">
        <v>19</v>
      </c>
      <c r="I21" s="33">
        <f>CASH_jun26!C21-C_RVS_26_28!B21</f>
        <v>-6630.8376199996565</v>
      </c>
      <c r="J21" s="33">
        <f>CASH_jun26!D21-C_RVS_26_28!C21</f>
        <v>16572</v>
      </c>
      <c r="K21" s="34">
        <f>CASH_jun26!E21-C_RVS_26_28!D21</f>
        <v>-8157</v>
      </c>
      <c r="L21" s="35">
        <f>CASH_jun26!F21-C_RVS_26_28!E21</f>
        <v>-7181</v>
      </c>
    </row>
    <row r="22" spans="1:15" ht="13.5" customHeight="1" x14ac:dyDescent="0.25">
      <c r="A22" s="29" t="s">
        <v>20</v>
      </c>
      <c r="B22" s="240">
        <v>252657</v>
      </c>
      <c r="C22" s="242">
        <v>251088</v>
      </c>
      <c r="D22" s="242">
        <v>250881</v>
      </c>
      <c r="E22" s="241">
        <v>250135</v>
      </c>
      <c r="F22" s="222"/>
      <c r="G22" s="184"/>
      <c r="H22" s="29" t="s">
        <v>20</v>
      </c>
      <c r="I22" s="33">
        <f>CASH_jun26!C22-C_RVS_26_28!B22</f>
        <v>-7109.9007799999672</v>
      </c>
      <c r="J22" s="33">
        <f>CASH_jun26!D22-C_RVS_26_28!C22</f>
        <v>-8750</v>
      </c>
      <c r="K22" s="34">
        <f>CASH_jun26!E22-C_RVS_26_28!D22</f>
        <v>-9422</v>
      </c>
      <c r="L22" s="35">
        <f>CASH_jun26!F22-C_RVS_26_28!E22</f>
        <v>-9731</v>
      </c>
    </row>
    <row r="23" spans="1:15" ht="13.5" customHeight="1" x14ac:dyDescent="0.25">
      <c r="A23" s="29" t="s">
        <v>21</v>
      </c>
      <c r="B23" s="240">
        <v>54643</v>
      </c>
      <c r="C23" s="242">
        <v>54504</v>
      </c>
      <c r="D23" s="242">
        <v>54275</v>
      </c>
      <c r="E23" s="241">
        <v>54048</v>
      </c>
      <c r="F23" s="23"/>
      <c r="G23" s="184"/>
      <c r="H23" s="29" t="s">
        <v>21</v>
      </c>
      <c r="I23" s="33">
        <f>CASH_jun26!C23-C_RVS_26_28!B23</f>
        <v>-1978.7347500000033</v>
      </c>
      <c r="J23" s="33">
        <f>CASH_jun26!D23-C_RVS_26_28!C23</f>
        <v>-1696</v>
      </c>
      <c r="K23" s="34">
        <f>CASH_jun26!E23-C_RVS_26_28!D23</f>
        <v>-2022</v>
      </c>
      <c r="L23" s="35">
        <f>CASH_jun26!F23-C_RVS_26_28!E23</f>
        <v>-2093</v>
      </c>
    </row>
    <row r="24" spans="1:15" ht="13.5" customHeight="1" x14ac:dyDescent="0.25">
      <c r="A24" s="29" t="s">
        <v>22</v>
      </c>
      <c r="B24" s="240">
        <v>4798</v>
      </c>
      <c r="C24" s="242">
        <v>4779</v>
      </c>
      <c r="D24" s="242">
        <v>4748</v>
      </c>
      <c r="E24" s="241">
        <v>4718</v>
      </c>
      <c r="F24" s="23"/>
      <c r="G24" s="184"/>
      <c r="H24" s="29" t="s">
        <v>22</v>
      </c>
      <c r="I24" s="33">
        <f>CASH_jun26!C24-C_RVS_26_28!B24</f>
        <v>-51.589989999999489</v>
      </c>
      <c r="J24" s="33">
        <f>CASH_jun26!D24-C_RVS_26_28!C24</f>
        <v>-14</v>
      </c>
      <c r="K24" s="34">
        <f>CASH_jun26!E24-C_RVS_26_28!D24</f>
        <v>-35</v>
      </c>
      <c r="L24" s="35">
        <f>CASH_jun26!F24-C_RVS_26_28!E24</f>
        <v>-25</v>
      </c>
    </row>
    <row r="25" spans="1:15" ht="13.5" customHeight="1" x14ac:dyDescent="0.25">
      <c r="A25" s="29" t="s">
        <v>23</v>
      </c>
      <c r="B25" s="240">
        <v>977255</v>
      </c>
      <c r="C25" s="242">
        <v>1048655</v>
      </c>
      <c r="D25" s="242">
        <v>1106594</v>
      </c>
      <c r="E25" s="241">
        <v>1198518</v>
      </c>
      <c r="F25" s="23"/>
      <c r="G25" s="184"/>
      <c r="H25" s="29" t="s">
        <v>23</v>
      </c>
      <c r="I25" s="33">
        <f>CASH_jun26!C25-C_RVS_26_28!B25</f>
        <v>4380.4643399999477</v>
      </c>
      <c r="J25" s="33">
        <f>CASH_jun26!D25-C_RVS_26_28!C25</f>
        <v>8329</v>
      </c>
      <c r="K25" s="34">
        <f>CASH_jun26!E25-C_RVS_26_28!D25</f>
        <v>-13614</v>
      </c>
      <c r="L25" s="35">
        <f>CASH_jun26!F25-C_RVS_26_28!E25</f>
        <v>-30137</v>
      </c>
    </row>
    <row r="26" spans="1:15" ht="13.5" customHeight="1" x14ac:dyDescent="0.25">
      <c r="A26" s="29" t="s">
        <v>24</v>
      </c>
      <c r="B26" s="240">
        <v>12391</v>
      </c>
      <c r="C26" s="242">
        <v>12457</v>
      </c>
      <c r="D26" s="242">
        <v>12563</v>
      </c>
      <c r="E26" s="241">
        <v>12676</v>
      </c>
      <c r="F26" s="23"/>
      <c r="G26" s="184"/>
      <c r="H26" s="29" t="s">
        <v>24</v>
      </c>
      <c r="I26" s="33">
        <f>CASH_jun26!C26-C_RVS_26_28!B26</f>
        <v>-778.05269999999837</v>
      </c>
      <c r="J26" s="33">
        <f>CASH_jun26!D26-C_RVS_26_28!C26</f>
        <v>-1345</v>
      </c>
      <c r="K26" s="34">
        <f>CASH_jun26!E26-C_RVS_26_28!D26</f>
        <v>-3828</v>
      </c>
      <c r="L26" s="35">
        <f>CASH_jun26!F26-C_RVS_26_28!E26</f>
        <v>-3870</v>
      </c>
    </row>
    <row r="27" spans="1:15" ht="13.5" customHeight="1" x14ac:dyDescent="0.25">
      <c r="A27" s="29" t="s">
        <v>25</v>
      </c>
      <c r="B27" s="240">
        <v>21094</v>
      </c>
      <c r="C27" s="242">
        <v>21190</v>
      </c>
      <c r="D27" s="242">
        <v>21440</v>
      </c>
      <c r="E27" s="241">
        <v>21693</v>
      </c>
      <c r="F27" s="23"/>
      <c r="G27" s="184"/>
      <c r="H27" s="29" t="s">
        <v>25</v>
      </c>
      <c r="I27" s="33">
        <f>CASH_jun26!C27-C_RVS_26_28!B27</f>
        <v>-184.35723999999755</v>
      </c>
      <c r="J27" s="33">
        <f>CASH_jun26!D27-C_RVS_26_28!C27</f>
        <v>-188</v>
      </c>
      <c r="K27" s="34">
        <f>CASH_jun26!E27-C_RVS_26_28!D27</f>
        <v>-423</v>
      </c>
      <c r="L27" s="35">
        <f>CASH_jun26!F27-C_RVS_26_28!E27</f>
        <v>-381</v>
      </c>
    </row>
    <row r="28" spans="1:15" ht="13.5" customHeight="1" x14ac:dyDescent="0.25">
      <c r="A28" s="29" t="s">
        <v>26</v>
      </c>
      <c r="B28" s="240">
        <v>184</v>
      </c>
      <c r="C28" s="242">
        <v>156</v>
      </c>
      <c r="D28" s="242">
        <v>137</v>
      </c>
      <c r="E28" s="241">
        <v>119</v>
      </c>
      <c r="F28" s="23"/>
      <c r="G28" s="184"/>
      <c r="H28" s="29" t="s">
        <v>26</v>
      </c>
      <c r="I28" s="33">
        <f>CASH_jun26!C28-C_RVS_26_28!B28</f>
        <v>16.329910000000012</v>
      </c>
      <c r="J28" s="33">
        <f>CASH_jun26!D28-C_RVS_26_28!C28</f>
        <v>74</v>
      </c>
      <c r="K28" s="34">
        <f>CASH_jun26!E28-C_RVS_26_28!D28</f>
        <v>53</v>
      </c>
      <c r="L28" s="35">
        <f>CASH_jun26!F28-C_RVS_26_28!E28</f>
        <v>51</v>
      </c>
    </row>
    <row r="29" spans="1:15" ht="13.5" customHeight="1" x14ac:dyDescent="0.25">
      <c r="A29" s="344" t="s">
        <v>91</v>
      </c>
      <c r="B29" s="240">
        <v>87266</v>
      </c>
      <c r="C29" s="242">
        <v>97653</v>
      </c>
      <c r="D29" s="242">
        <v>99818</v>
      </c>
      <c r="E29" s="241">
        <v>101050</v>
      </c>
      <c r="F29" s="23"/>
      <c r="G29" s="184"/>
      <c r="H29" s="344" t="s">
        <v>91</v>
      </c>
      <c r="I29" s="33">
        <f>CASH_jun26!C29-C_RVS_26_28!B29</f>
        <v>2472.8681399999914</v>
      </c>
      <c r="J29" s="33">
        <f>CASH_jun26!D29-C_RVS_26_28!C29</f>
        <v>1814</v>
      </c>
      <c r="K29" s="34">
        <f>CASH_jun26!E29-C_RVS_26_28!D29</f>
        <v>397</v>
      </c>
      <c r="L29" s="35">
        <f>CASH_jun26!F29-C_RVS_26_28!E29</f>
        <v>163</v>
      </c>
    </row>
    <row r="30" spans="1:15" ht="13.5" customHeight="1" x14ac:dyDescent="0.25">
      <c r="A30" s="41" t="s">
        <v>27</v>
      </c>
      <c r="B30" s="171">
        <f t="shared" ref="B30:E30" si="10">SUM(B31:B34)</f>
        <v>44901</v>
      </c>
      <c r="C30" s="45">
        <f t="shared" si="10"/>
        <v>48573</v>
      </c>
      <c r="D30" s="45">
        <f t="shared" si="10"/>
        <v>51421</v>
      </c>
      <c r="E30" s="43">
        <f t="shared" si="10"/>
        <v>54286</v>
      </c>
      <c r="F30" s="23"/>
      <c r="G30" s="184"/>
      <c r="H30" s="41" t="s">
        <v>27</v>
      </c>
      <c r="I30" s="45">
        <f t="shared" ref="I30:L30" si="11">SUM(I31:I34)</f>
        <v>518.76073000000179</v>
      </c>
      <c r="J30" s="45">
        <f t="shared" si="11"/>
        <v>-6630</v>
      </c>
      <c r="K30" s="45">
        <f t="shared" si="11"/>
        <v>-6840</v>
      </c>
      <c r="L30" s="43">
        <f t="shared" si="11"/>
        <v>-7824</v>
      </c>
    </row>
    <row r="31" spans="1:15" ht="13.5" customHeight="1" x14ac:dyDescent="0.25">
      <c r="A31" s="24" t="s">
        <v>28</v>
      </c>
      <c r="B31" s="240">
        <v>50</v>
      </c>
      <c r="C31" s="242">
        <v>0</v>
      </c>
      <c r="D31" s="242">
        <v>0</v>
      </c>
      <c r="E31" s="241">
        <v>0</v>
      </c>
      <c r="F31" s="23"/>
      <c r="G31" s="184"/>
      <c r="H31" s="24" t="s">
        <v>28</v>
      </c>
      <c r="I31" s="33">
        <f>CASH_jun26!C31-C_RVS_26_28!B31</f>
        <v>-0.30530000000000257</v>
      </c>
      <c r="J31" s="33">
        <f>CASH_jun26!D31-C_RVS_26_28!C31</f>
        <v>20</v>
      </c>
      <c r="K31" s="34">
        <f>CASH_jun26!E31-C_RVS_26_28!D31</f>
        <v>0</v>
      </c>
      <c r="L31" s="35">
        <f>CASH_jun26!F31-C_RVS_26_28!E31</f>
        <v>0</v>
      </c>
    </row>
    <row r="32" spans="1:15" ht="13.5" customHeight="1" x14ac:dyDescent="0.25">
      <c r="A32" s="24" t="s">
        <v>29</v>
      </c>
      <c r="B32" s="240">
        <v>0</v>
      </c>
      <c r="C32" s="242">
        <v>0</v>
      </c>
      <c r="D32" s="242">
        <v>0</v>
      </c>
      <c r="E32" s="241">
        <v>0</v>
      </c>
      <c r="F32" s="23"/>
      <c r="G32" s="184"/>
      <c r="H32" s="24" t="s">
        <v>29</v>
      </c>
      <c r="I32" s="33">
        <f>CASH_jun26!C32-C_RVS_26_28!B32</f>
        <v>0</v>
      </c>
      <c r="J32" s="33">
        <f>CASH_jun26!D32-C_RVS_26_28!C32</f>
        <v>0</v>
      </c>
      <c r="K32" s="34">
        <f>CASH_jun26!E32-C_RVS_26_28!D32</f>
        <v>0</v>
      </c>
      <c r="L32" s="35">
        <f>CASH_jun26!F32-C_RVS_26_28!E32</f>
        <v>0</v>
      </c>
    </row>
    <row r="33" spans="1:12" ht="13.5" customHeight="1" x14ac:dyDescent="0.25">
      <c r="A33" s="24" t="s">
        <v>30</v>
      </c>
      <c r="B33" s="240">
        <v>44851</v>
      </c>
      <c r="C33" s="242">
        <v>48573</v>
      </c>
      <c r="D33" s="242">
        <v>51421</v>
      </c>
      <c r="E33" s="241">
        <v>54286</v>
      </c>
      <c r="F33" s="23"/>
      <c r="G33" s="184"/>
      <c r="H33" s="24" t="s">
        <v>30</v>
      </c>
      <c r="I33" s="33">
        <f>CASH_jun26!C33-C_RVS_26_28!B33</f>
        <v>519.06603000000177</v>
      </c>
      <c r="J33" s="33">
        <f>CASH_jun26!D33-C_RVS_26_28!C33</f>
        <v>-6650</v>
      </c>
      <c r="K33" s="34">
        <f>CASH_jun26!E33-C_RVS_26_28!D33</f>
        <v>-6840</v>
      </c>
      <c r="L33" s="35">
        <f>CASH_jun26!F33-C_RVS_26_28!E33</f>
        <v>-7824</v>
      </c>
    </row>
    <row r="34" spans="1:12" ht="13.5" customHeight="1" x14ac:dyDescent="0.25">
      <c r="A34" s="24" t="s">
        <v>31</v>
      </c>
      <c r="B34" s="240">
        <v>0</v>
      </c>
      <c r="C34" s="242">
        <v>0</v>
      </c>
      <c r="D34" s="242">
        <v>0</v>
      </c>
      <c r="E34" s="241">
        <v>0</v>
      </c>
      <c r="F34" s="23"/>
      <c r="G34" s="184"/>
      <c r="H34" s="24" t="s">
        <v>31</v>
      </c>
      <c r="I34" s="33">
        <f>CASH_jun26!C34-C_RVS_26_28!B34</f>
        <v>0</v>
      </c>
      <c r="J34" s="33">
        <f>CASH_jun26!D34-C_RVS_26_28!C34</f>
        <v>0</v>
      </c>
      <c r="K34" s="34">
        <f>CASH_jun26!E34-C_RVS_26_28!D34</f>
        <v>0</v>
      </c>
      <c r="L34" s="35">
        <f>CASH_jun26!F34-C_RVS_26_28!E34</f>
        <v>0</v>
      </c>
    </row>
    <row r="35" spans="1:12" ht="13.5" customHeight="1" x14ac:dyDescent="0.25">
      <c r="A35" s="41" t="s">
        <v>32</v>
      </c>
      <c r="B35" s="171">
        <f t="shared" ref="B35:E35" si="12">SUM(B36:B37)</f>
        <v>1023183</v>
      </c>
      <c r="C35" s="45">
        <f t="shared" si="12"/>
        <v>1059560</v>
      </c>
      <c r="D35" s="45">
        <f t="shared" si="12"/>
        <v>1074028</v>
      </c>
      <c r="E35" s="43">
        <f t="shared" si="12"/>
        <v>1090708</v>
      </c>
      <c r="F35" s="23"/>
      <c r="G35" s="184"/>
      <c r="H35" s="41" t="s">
        <v>32</v>
      </c>
      <c r="I35" s="45">
        <f>SUM(I36:I37)</f>
        <v>56.191170000121929</v>
      </c>
      <c r="J35" s="45">
        <f>SUM(J36:J37)</f>
        <v>3038</v>
      </c>
      <c r="K35" s="45">
        <f>SUM(K36:K37)</f>
        <v>3400</v>
      </c>
      <c r="L35" s="43">
        <f>SUM(L36:L37)</f>
        <v>862</v>
      </c>
    </row>
    <row r="36" spans="1:12" ht="13.5" customHeight="1" x14ac:dyDescent="0.25">
      <c r="A36" s="24" t="s">
        <v>33</v>
      </c>
      <c r="B36" s="172">
        <v>656692</v>
      </c>
      <c r="C36" s="40">
        <v>672569</v>
      </c>
      <c r="D36" s="28">
        <v>680806</v>
      </c>
      <c r="E36" s="26">
        <v>689561</v>
      </c>
      <c r="F36" s="23"/>
      <c r="G36" s="184"/>
      <c r="H36" s="24" t="s">
        <v>33</v>
      </c>
      <c r="I36" s="33">
        <f>CASH_jun26!C36-C_RVS_26_28!B36</f>
        <v>-11582.683239999926</v>
      </c>
      <c r="J36" s="33">
        <f>CASH_jun26!D36-C_RVS_26_28!C36</f>
        <v>-4924</v>
      </c>
      <c r="K36" s="34">
        <f>CASH_jun26!E36-C_RVS_26_28!D36</f>
        <v>-5305</v>
      </c>
      <c r="L36" s="35">
        <f>CASH_jun26!F36-C_RVS_26_28!E36</f>
        <v>-8277</v>
      </c>
    </row>
    <row r="37" spans="1:12" ht="13.5" customHeight="1" x14ac:dyDescent="0.25">
      <c r="A37" s="24" t="s">
        <v>34</v>
      </c>
      <c r="B37" s="170">
        <v>366491</v>
      </c>
      <c r="C37" s="28">
        <v>386991</v>
      </c>
      <c r="D37" s="28">
        <v>393222</v>
      </c>
      <c r="E37" s="26">
        <v>401147</v>
      </c>
      <c r="F37" s="23"/>
      <c r="G37" s="184"/>
      <c r="H37" s="24" t="s">
        <v>34</v>
      </c>
      <c r="I37" s="33">
        <f>CASH_jun26!C37-C_RVS_26_28!B37</f>
        <v>11638.874410000048</v>
      </c>
      <c r="J37" s="33">
        <f>CASH_jun26!D37-C_RVS_26_28!C37</f>
        <v>7962</v>
      </c>
      <c r="K37" s="34">
        <f>CASH_jun26!E37-C_RVS_26_28!D37</f>
        <v>8705</v>
      </c>
      <c r="L37" s="35">
        <f>CASH_jun26!F37-C_RVS_26_28!E37</f>
        <v>9139</v>
      </c>
    </row>
    <row r="38" spans="1:12" ht="13.5" customHeight="1" x14ac:dyDescent="0.25">
      <c r="A38" s="41" t="s">
        <v>37</v>
      </c>
      <c r="B38" s="171">
        <f>+SUM(B39:B46,B49:B53)</f>
        <v>1188100</v>
      </c>
      <c r="C38" s="45">
        <f>+SUM(C39:C46,C49:C53)</f>
        <v>1311807</v>
      </c>
      <c r="D38" s="45">
        <f>+SUM(D39:D46,D49:D53)</f>
        <v>1304972</v>
      </c>
      <c r="E38" s="43">
        <f>+SUM(E39:E46,E49:E53)</f>
        <v>1224404</v>
      </c>
      <c r="F38" s="23"/>
      <c r="G38" s="184"/>
      <c r="H38" s="41" t="s">
        <v>37</v>
      </c>
      <c r="I38" s="45">
        <f>SUM(I39:I40,I41,I42,I45,I46,I49:I53,I43,I44)</f>
        <v>166310.08379999999</v>
      </c>
      <c r="J38" s="45">
        <f>SUM(J39:J40,J41,J42,J45,J46,J49:J53,J43,J44)</f>
        <v>-120074</v>
      </c>
      <c r="K38" s="45">
        <f>SUM(K39:K40,K41,K42,K45,K46,K49:K53,K43,K44)</f>
        <v>-90799</v>
      </c>
      <c r="L38" s="43">
        <f>SUM(L39:L40,L41,L42,L45,L46,L49:L53,L43,L44)</f>
        <v>-29940</v>
      </c>
    </row>
    <row r="39" spans="1:12" ht="13.5" customHeight="1" x14ac:dyDescent="0.25">
      <c r="A39" s="53" t="s">
        <v>38</v>
      </c>
      <c r="B39" s="172">
        <v>0</v>
      </c>
      <c r="C39" s="40">
        <v>0</v>
      </c>
      <c r="D39" s="40">
        <v>0</v>
      </c>
      <c r="E39" s="54">
        <v>0</v>
      </c>
      <c r="F39" s="23"/>
      <c r="G39" s="184"/>
      <c r="H39" s="24" t="s">
        <v>38</v>
      </c>
      <c r="I39" s="33">
        <f>CASH_jun26!C39-C_RVS_26_28!B39</f>
        <v>0</v>
      </c>
      <c r="J39" s="33">
        <f>CASH_jun26!D39-C_RVS_26_28!C39</f>
        <v>0</v>
      </c>
      <c r="K39" s="34">
        <f>CASH_jun26!E39-C_RVS_26_28!D39</f>
        <v>0</v>
      </c>
      <c r="L39" s="35">
        <f>CASH_jun26!F39-C_RVS_26_28!E39</f>
        <v>0</v>
      </c>
    </row>
    <row r="40" spans="1:12" ht="13.5" customHeight="1" x14ac:dyDescent="0.25">
      <c r="A40" s="24" t="s">
        <v>39</v>
      </c>
      <c r="B40" s="172">
        <v>126290</v>
      </c>
      <c r="C40" s="40">
        <v>138119</v>
      </c>
      <c r="D40" s="40">
        <v>139946</v>
      </c>
      <c r="E40" s="54">
        <v>142096</v>
      </c>
      <c r="F40" s="23"/>
      <c r="G40" s="184"/>
      <c r="H40" s="24" t="s">
        <v>39</v>
      </c>
      <c r="I40" s="33">
        <f>CASH_jun26!C40-C_RVS_26_28!B40</f>
        <v>4926.6431699999957</v>
      </c>
      <c r="J40" s="33">
        <f>CASH_jun26!D40-C_RVS_26_28!C40</f>
        <v>-6274</v>
      </c>
      <c r="K40" s="34">
        <f>CASH_jun26!E40-C_RVS_26_28!D40</f>
        <v>-5900</v>
      </c>
      <c r="L40" s="35">
        <f>CASH_jun26!F40-C_RVS_26_28!E40</f>
        <v>-5712</v>
      </c>
    </row>
    <row r="41" spans="1:12" ht="13.5" customHeight="1" x14ac:dyDescent="0.25">
      <c r="A41" s="53" t="s">
        <v>40</v>
      </c>
      <c r="B41" s="170">
        <v>0</v>
      </c>
      <c r="C41" s="28">
        <v>0</v>
      </c>
      <c r="D41" s="28">
        <v>0</v>
      </c>
      <c r="E41" s="26">
        <v>0</v>
      </c>
      <c r="F41" s="23"/>
      <c r="G41" s="184"/>
      <c r="H41" s="24" t="s">
        <v>40</v>
      </c>
      <c r="I41" s="33">
        <f>CASH_jun26!C41-C_RVS_26_28!B41</f>
        <v>0</v>
      </c>
      <c r="J41" s="33">
        <f>CASH_jun26!D41-C_RVS_26_28!C41</f>
        <v>0</v>
      </c>
      <c r="K41" s="34">
        <f>CASH_jun26!E41-C_RVS_26_28!D41</f>
        <v>0</v>
      </c>
      <c r="L41" s="35">
        <f>CASH_jun26!F41-C_RVS_26_28!E41</f>
        <v>0</v>
      </c>
    </row>
    <row r="42" spans="1:12" ht="13.5" customHeight="1" x14ac:dyDescent="0.25">
      <c r="A42" s="53" t="s">
        <v>41</v>
      </c>
      <c r="B42" s="170">
        <v>478654</v>
      </c>
      <c r="C42" s="28">
        <v>431253</v>
      </c>
      <c r="D42" s="28">
        <v>381568</v>
      </c>
      <c r="E42" s="26">
        <v>266631</v>
      </c>
      <c r="F42" s="23"/>
      <c r="G42" s="184"/>
      <c r="H42" s="24" t="s">
        <v>41</v>
      </c>
      <c r="I42" s="33">
        <f>CASH_jun26!C42-C_RVS_26_28!B42</f>
        <v>160419.75425999996</v>
      </c>
      <c r="J42" s="33">
        <f>CASH_jun26!D42-C_RVS_26_28!C42</f>
        <v>-80880</v>
      </c>
      <c r="K42" s="34">
        <f>CASH_jun26!E42-C_RVS_26_28!D42</f>
        <v>-42867</v>
      </c>
      <c r="L42" s="35">
        <f>CASH_jun26!F42-C_RVS_26_28!E42</f>
        <v>15953</v>
      </c>
    </row>
    <row r="43" spans="1:12" ht="13.5" customHeight="1" x14ac:dyDescent="0.25">
      <c r="A43" s="53" t="s">
        <v>88</v>
      </c>
      <c r="B43" s="170">
        <v>55672</v>
      </c>
      <c r="C43" s="28">
        <v>0</v>
      </c>
      <c r="D43" s="28">
        <v>0</v>
      </c>
      <c r="E43" s="26">
        <v>0</v>
      </c>
      <c r="F43" s="23"/>
      <c r="G43" s="184"/>
      <c r="H43" s="24" t="s">
        <v>88</v>
      </c>
      <c r="I43" s="33">
        <f>CASH_jun26!C43-C_RVS_26_28!B43</f>
        <v>0.17179999999643769</v>
      </c>
      <c r="J43" s="33">
        <f>CASH_jun26!D43-C_RVS_26_28!C43</f>
        <v>0</v>
      </c>
      <c r="K43" s="34">
        <f>CASH_jun26!E43-C_RVS_26_28!D43</f>
        <v>0</v>
      </c>
      <c r="L43" s="35">
        <f>CASH_jun26!F43-C_RVS_26_28!E43</f>
        <v>0</v>
      </c>
    </row>
    <row r="44" spans="1:12" ht="13.5" customHeight="1" x14ac:dyDescent="0.25">
      <c r="A44" s="53" t="s">
        <v>89</v>
      </c>
      <c r="B44" s="170">
        <v>347</v>
      </c>
      <c r="C44" s="28">
        <v>0</v>
      </c>
      <c r="D44" s="28">
        <v>0</v>
      </c>
      <c r="E44" s="26">
        <v>0</v>
      </c>
      <c r="F44" s="23"/>
      <c r="G44" s="184"/>
      <c r="H44" s="24" t="s">
        <v>89</v>
      </c>
      <c r="I44" s="33">
        <f>CASH_jun26!C44-C_RVS_26_28!B44</f>
        <v>0.46529999999700067</v>
      </c>
      <c r="J44" s="33">
        <f>CASH_jun26!D44-C_RVS_26_28!C44</f>
        <v>0</v>
      </c>
      <c r="K44" s="34">
        <f>CASH_jun26!E44-C_RVS_26_28!D44</f>
        <v>0</v>
      </c>
      <c r="L44" s="35">
        <f>CASH_jun26!F44-C_RVS_26_28!E44</f>
        <v>0</v>
      </c>
    </row>
    <row r="45" spans="1:12" ht="13.5" customHeight="1" x14ac:dyDescent="0.25">
      <c r="A45" s="53" t="s">
        <v>42</v>
      </c>
      <c r="B45" s="170">
        <v>1000</v>
      </c>
      <c r="C45" s="28">
        <v>0</v>
      </c>
      <c r="D45" s="28">
        <v>0</v>
      </c>
      <c r="E45" s="26">
        <v>0</v>
      </c>
      <c r="F45" s="23"/>
      <c r="G45" s="184"/>
      <c r="H45" s="24" t="s">
        <v>42</v>
      </c>
      <c r="I45" s="33">
        <f>CASH_jun26!C45-C_RVS_26_28!B45</f>
        <v>242.38833</v>
      </c>
      <c r="J45" s="33">
        <f>CASH_jun26!D45-C_RVS_26_28!C45</f>
        <v>400</v>
      </c>
      <c r="K45" s="34">
        <f>CASH_jun26!E45-C_RVS_26_28!D45</f>
        <v>0</v>
      </c>
      <c r="L45" s="35">
        <f>CASH_jun26!F45-C_RVS_26_28!E45</f>
        <v>0</v>
      </c>
    </row>
    <row r="46" spans="1:12" ht="13.5" customHeight="1" x14ac:dyDescent="0.25">
      <c r="A46" s="53" t="s">
        <v>43</v>
      </c>
      <c r="B46" s="172">
        <v>362</v>
      </c>
      <c r="C46" s="40">
        <v>361</v>
      </c>
      <c r="D46" s="40">
        <v>361</v>
      </c>
      <c r="E46" s="54">
        <v>361</v>
      </c>
      <c r="F46" s="23"/>
      <c r="G46" s="184"/>
      <c r="H46" s="53" t="s">
        <v>43</v>
      </c>
      <c r="I46" s="33">
        <f>CASH_jun26!C46-C_RVS_26_28!B46</f>
        <v>-16.800529999999981</v>
      </c>
      <c r="J46" s="33">
        <f>CASH_jun26!D46-C_RVS_26_28!C46</f>
        <v>159</v>
      </c>
      <c r="K46" s="34">
        <f>CASH_jun26!E46-C_RVS_26_28!D46</f>
        <v>159</v>
      </c>
      <c r="L46" s="35">
        <f>CASH_jun26!F46-C_RVS_26_28!E46</f>
        <v>159</v>
      </c>
    </row>
    <row r="47" spans="1:12" ht="13.5" customHeight="1" x14ac:dyDescent="0.25">
      <c r="A47" s="56" t="s">
        <v>10</v>
      </c>
      <c r="B47" s="172">
        <v>83</v>
      </c>
      <c r="C47" s="40">
        <v>0</v>
      </c>
      <c r="D47" s="40">
        <v>0</v>
      </c>
      <c r="E47" s="54">
        <v>0</v>
      </c>
      <c r="F47" s="23"/>
      <c r="G47" s="184"/>
      <c r="H47" s="56" t="s">
        <v>10</v>
      </c>
      <c r="I47" s="33">
        <f>CASH_jun26!C47-C_RVS_26_28!B47</f>
        <v>-1.4120000000005462E-2</v>
      </c>
      <c r="J47" s="33">
        <f>CASH_jun26!D47-C_RVS_26_28!C47</f>
        <v>0</v>
      </c>
      <c r="K47" s="34">
        <f>CASH_jun26!E47-C_RVS_26_28!D47</f>
        <v>0</v>
      </c>
      <c r="L47" s="35">
        <f>CASH_jun26!F47-C_RVS_26_28!E47</f>
        <v>0</v>
      </c>
    </row>
    <row r="48" spans="1:12" ht="13.5" customHeight="1" x14ac:dyDescent="0.25">
      <c r="A48" s="56" t="s">
        <v>11</v>
      </c>
      <c r="B48" s="172">
        <v>279</v>
      </c>
      <c r="C48" s="40">
        <v>361</v>
      </c>
      <c r="D48" s="40">
        <v>361</v>
      </c>
      <c r="E48" s="54">
        <v>361</v>
      </c>
      <c r="F48" s="23"/>
      <c r="G48" s="184"/>
      <c r="H48" s="56" t="s">
        <v>11</v>
      </c>
      <c r="I48" s="33">
        <f>CASH_jun26!C48-C_RVS_26_28!B48</f>
        <v>-16.786409999999989</v>
      </c>
      <c r="J48" s="33">
        <f>CASH_jun26!D48-C_RVS_26_28!C48</f>
        <v>159</v>
      </c>
      <c r="K48" s="34">
        <f>CASH_jun26!E48-C_RVS_26_28!D48</f>
        <v>159</v>
      </c>
      <c r="L48" s="35">
        <f>CASH_jun26!F48-C_RVS_26_28!E48</f>
        <v>159</v>
      </c>
    </row>
    <row r="49" spans="1:17" ht="13.5" customHeight="1" x14ac:dyDescent="0.25">
      <c r="A49" s="53" t="s">
        <v>44</v>
      </c>
      <c r="B49" s="172">
        <v>1000</v>
      </c>
      <c r="C49" s="40">
        <v>1000</v>
      </c>
      <c r="D49" s="40">
        <v>1000</v>
      </c>
      <c r="E49" s="54">
        <v>1000</v>
      </c>
      <c r="F49" s="23"/>
      <c r="G49" s="184"/>
      <c r="H49" s="53" t="s">
        <v>44</v>
      </c>
      <c r="I49" s="33">
        <f>CASH_jun26!C49-C_RVS_26_28!B49</f>
        <v>-726.75126999999998</v>
      </c>
      <c r="J49" s="33">
        <f>CASH_jun26!D49-C_RVS_26_28!C49</f>
        <v>332</v>
      </c>
      <c r="K49" s="34">
        <f>CASH_jun26!E49-C_RVS_26_28!D49</f>
        <v>0</v>
      </c>
      <c r="L49" s="35">
        <f>CASH_jun26!F49-C_RVS_26_28!E49</f>
        <v>0</v>
      </c>
    </row>
    <row r="50" spans="1:17" ht="13.5" customHeight="1" x14ac:dyDescent="0.25">
      <c r="A50" s="53" t="s">
        <v>45</v>
      </c>
      <c r="B50" s="172">
        <v>30101</v>
      </c>
      <c r="C50" s="40">
        <v>30478</v>
      </c>
      <c r="D50" s="40">
        <v>19894</v>
      </c>
      <c r="E50" s="54">
        <v>20375</v>
      </c>
      <c r="F50" s="23"/>
      <c r="G50" s="184"/>
      <c r="H50" s="53" t="s">
        <v>45</v>
      </c>
      <c r="I50" s="33">
        <f>CASH_jun26!C50-C_RVS_26_28!B50</f>
        <v>-2145.5976200000005</v>
      </c>
      <c r="J50" s="33">
        <f>CASH_jun26!D50-C_RVS_26_28!C50</f>
        <v>-2307</v>
      </c>
      <c r="K50" s="34">
        <f>CASH_jun26!E50-C_RVS_26_28!D50</f>
        <v>-2296</v>
      </c>
      <c r="L50" s="35">
        <f>CASH_jun26!F50-C_RVS_26_28!E50</f>
        <v>-2320</v>
      </c>
    </row>
    <row r="51" spans="1:17" ht="13.5" customHeight="1" x14ac:dyDescent="0.25">
      <c r="A51" s="53" t="s">
        <v>92</v>
      </c>
      <c r="B51" s="172">
        <v>338441</v>
      </c>
      <c r="C51" s="40">
        <v>527821</v>
      </c>
      <c r="D51" s="40">
        <v>549281</v>
      </c>
      <c r="E51" s="54">
        <v>571058</v>
      </c>
      <c r="F51" s="23"/>
      <c r="G51" s="184"/>
      <c r="H51" s="53" t="s">
        <v>92</v>
      </c>
      <c r="I51" s="33">
        <f>CASH_jun26!C51-C_RVS_26_28!B51</f>
        <v>480.28242000006139</v>
      </c>
      <c r="J51" s="33">
        <f>CASH_jun26!D51-C_RVS_26_28!C51</f>
        <v>-41755</v>
      </c>
      <c r="K51" s="34">
        <f>CASH_jun26!E51-C_RVS_26_28!D51</f>
        <v>-46657</v>
      </c>
      <c r="L51" s="35">
        <f>CASH_jun26!F51-C_RVS_26_28!E51</f>
        <v>-45838</v>
      </c>
    </row>
    <row r="52" spans="1:17" ht="13.5" customHeight="1" x14ac:dyDescent="0.25">
      <c r="A52" s="53" t="s">
        <v>46</v>
      </c>
      <c r="B52" s="38">
        <v>0</v>
      </c>
      <c r="C52" s="40">
        <v>0</v>
      </c>
      <c r="D52" s="40">
        <v>0</v>
      </c>
      <c r="E52" s="54">
        <v>0</v>
      </c>
      <c r="F52" s="23"/>
      <c r="G52" s="184"/>
      <c r="H52" s="53" t="s">
        <v>46</v>
      </c>
      <c r="I52" s="33">
        <f>CASH_jun26!C52-C_RVS_26_28!B52</f>
        <v>-0.78783000000000003</v>
      </c>
      <c r="J52" s="33">
        <f>CASH_jun26!D52-C_RVS_26_28!C52</f>
        <v>2</v>
      </c>
      <c r="K52" s="34">
        <f>CASH_jun26!E52-C_RVS_26_28!D52</f>
        <v>0</v>
      </c>
      <c r="L52" s="35">
        <f>CASH_jun26!F52-C_RVS_26_28!E52</f>
        <v>0</v>
      </c>
    </row>
    <row r="53" spans="1:17" ht="13.5" customHeight="1" x14ac:dyDescent="0.25">
      <c r="A53" s="24" t="s">
        <v>82</v>
      </c>
      <c r="B53" s="27">
        <v>156233</v>
      </c>
      <c r="C53" s="28">
        <v>182775</v>
      </c>
      <c r="D53" s="28">
        <v>212922</v>
      </c>
      <c r="E53" s="26">
        <v>222883</v>
      </c>
      <c r="F53" s="23"/>
      <c r="G53" s="184"/>
      <c r="H53" s="24" t="s">
        <v>48</v>
      </c>
      <c r="I53" s="33">
        <f>CASH_jun26!C53-C_RVS_26_28!B53</f>
        <v>3130.3157700000156</v>
      </c>
      <c r="J53" s="33">
        <f>CASH_jun26!D53-C_RVS_26_28!C53</f>
        <v>10249</v>
      </c>
      <c r="K53" s="34">
        <f>CASH_jun26!E53-C_RVS_26_28!D53</f>
        <v>6762</v>
      </c>
      <c r="L53" s="35">
        <f>CASH_jun26!F53-C_RVS_26_28!E53</f>
        <v>7818</v>
      </c>
      <c r="M53" s="22"/>
      <c r="N53" s="22"/>
      <c r="O53" s="22"/>
      <c r="P53" s="22"/>
      <c r="Q53" s="22"/>
    </row>
    <row r="54" spans="1:17" ht="13.5" customHeight="1" x14ac:dyDescent="0.25">
      <c r="A54" s="36" t="s">
        <v>10</v>
      </c>
      <c r="B54" s="27">
        <v>116982</v>
      </c>
      <c r="C54" s="28">
        <v>141959</v>
      </c>
      <c r="D54" s="28">
        <v>160916</v>
      </c>
      <c r="E54" s="26">
        <v>167117</v>
      </c>
      <c r="F54" s="23"/>
      <c r="G54" s="184"/>
      <c r="H54" s="36" t="s">
        <v>10</v>
      </c>
      <c r="I54" s="33">
        <f>CASH_jun26!C54-C_RVS_26_28!B54</f>
        <v>3094.7763200000045</v>
      </c>
      <c r="J54" s="33">
        <f>CASH_jun26!D54-C_RVS_26_28!C54</f>
        <v>6331</v>
      </c>
      <c r="K54" s="34">
        <f>CASH_jun26!E54-C_RVS_26_28!D54</f>
        <v>2117</v>
      </c>
      <c r="L54" s="35">
        <f>CASH_jun26!F54-C_RVS_26_28!E54</f>
        <v>2745</v>
      </c>
      <c r="M54" s="22"/>
      <c r="N54" s="22"/>
      <c r="O54" s="22"/>
      <c r="P54" s="22"/>
      <c r="Q54" s="22"/>
    </row>
    <row r="55" spans="1:17" ht="14.25" customHeight="1" x14ac:dyDescent="0.25">
      <c r="A55" s="57" t="s">
        <v>11</v>
      </c>
      <c r="B55" s="27">
        <v>0</v>
      </c>
      <c r="C55" s="28">
        <v>0</v>
      </c>
      <c r="D55" s="28">
        <v>0</v>
      </c>
      <c r="E55" s="26">
        <v>0</v>
      </c>
      <c r="F55" s="23"/>
      <c r="G55" s="184"/>
      <c r="H55" s="36" t="s">
        <v>11</v>
      </c>
      <c r="I55" s="33">
        <f>CASH_jun26!C55-C_RVS_26_28!B55</f>
        <v>35.377330000000001</v>
      </c>
      <c r="J55" s="33">
        <f>CASH_jun26!D55-C_RVS_26_28!C55</f>
        <v>0</v>
      </c>
      <c r="K55" s="34">
        <f>CASH_jun26!E55-C_RVS_26_28!D55</f>
        <v>0</v>
      </c>
      <c r="L55" s="35">
        <f>CASH_jun26!F55-C_RVS_26_28!E55</f>
        <v>0</v>
      </c>
      <c r="M55" s="22"/>
      <c r="N55" s="22"/>
      <c r="O55" s="22"/>
      <c r="P55" s="22"/>
      <c r="Q55" s="22"/>
    </row>
    <row r="56" spans="1:17" ht="14.25" customHeight="1" x14ac:dyDescent="0.25">
      <c r="A56" s="58" t="s">
        <v>12</v>
      </c>
      <c r="B56" s="27">
        <v>0</v>
      </c>
      <c r="C56" s="28">
        <v>0</v>
      </c>
      <c r="D56" s="28">
        <v>0</v>
      </c>
      <c r="E56" s="26">
        <v>0</v>
      </c>
      <c r="F56" s="23"/>
      <c r="G56" s="184"/>
      <c r="H56" s="58" t="s">
        <v>12</v>
      </c>
      <c r="I56" s="33">
        <f>CASH_jun26!C56-C_RVS_26_28!B56</f>
        <v>0</v>
      </c>
      <c r="J56" s="33">
        <f>CASH_jun26!D56-C_RVS_26_28!C56</f>
        <v>0</v>
      </c>
      <c r="K56" s="34">
        <f>CASH_jun26!E56-C_RVS_26_28!D56</f>
        <v>0</v>
      </c>
      <c r="L56" s="35">
        <f>CASH_jun26!F56-C_RVS_26_28!E56</f>
        <v>0</v>
      </c>
      <c r="M56" s="22"/>
      <c r="N56" s="22"/>
      <c r="O56" s="22"/>
      <c r="P56" s="22"/>
      <c r="Q56" s="22"/>
    </row>
    <row r="57" spans="1:17" ht="14.25" customHeight="1" x14ac:dyDescent="0.25">
      <c r="A57" s="36" t="s">
        <v>49</v>
      </c>
      <c r="B57" s="27">
        <v>39251</v>
      </c>
      <c r="C57" s="28">
        <v>40816</v>
      </c>
      <c r="D57" s="28">
        <v>52006</v>
      </c>
      <c r="E57" s="26">
        <v>55766</v>
      </c>
      <c r="F57" s="23"/>
      <c r="G57" s="184"/>
      <c r="H57" s="36" t="s">
        <v>49</v>
      </c>
      <c r="I57" s="33">
        <f>CASH_jun26!C57-C_RVS_26_28!B57</f>
        <v>0.16212000000086846</v>
      </c>
      <c r="J57" s="33">
        <f>CASH_jun26!D57-C_RVS_26_28!C57</f>
        <v>3918</v>
      </c>
      <c r="K57" s="34">
        <f>CASH_jun26!E57-C_RVS_26_28!D57</f>
        <v>4645</v>
      </c>
      <c r="L57" s="35">
        <f>CASH_jun26!F57-C_RVS_26_28!E57</f>
        <v>5073</v>
      </c>
      <c r="M57" s="22"/>
      <c r="N57" s="22"/>
      <c r="O57" s="22"/>
      <c r="P57" s="22"/>
      <c r="Q57" s="22"/>
    </row>
    <row r="58" spans="1:17" ht="14.25" customHeight="1" x14ac:dyDescent="0.25">
      <c r="A58" s="59" t="s">
        <v>50</v>
      </c>
      <c r="B58" s="27">
        <v>0</v>
      </c>
      <c r="C58" s="28">
        <v>0</v>
      </c>
      <c r="D58" s="28">
        <v>0</v>
      </c>
      <c r="E58" s="26">
        <v>0</v>
      </c>
      <c r="F58" s="23"/>
      <c r="G58" s="184"/>
      <c r="H58" s="252" t="s">
        <v>50</v>
      </c>
      <c r="I58" s="33">
        <f>CASH_jun26!C58-C_RVS_26_28!B58</f>
        <v>0.12627999999999995</v>
      </c>
      <c r="J58" s="33">
        <f>CASH_jun26!D58-C_RVS_26_28!C58</f>
        <v>0</v>
      </c>
      <c r="K58" s="34">
        <f>CASH_jun26!E58-C_RVS_26_28!D58</f>
        <v>0</v>
      </c>
      <c r="L58" s="35">
        <f>CASH_jun26!F58-C_RVS_26_28!E58</f>
        <v>0</v>
      </c>
      <c r="M58" s="22"/>
      <c r="N58" s="22"/>
      <c r="O58" s="22"/>
      <c r="P58" s="22"/>
      <c r="Q58" s="22"/>
    </row>
    <row r="59" spans="1:17" ht="14.25" customHeight="1" x14ac:dyDescent="0.25">
      <c r="A59" s="59" t="s">
        <v>51</v>
      </c>
      <c r="B59" s="27">
        <v>3</v>
      </c>
      <c r="C59" s="28">
        <v>0</v>
      </c>
      <c r="D59" s="28">
        <v>0</v>
      </c>
      <c r="E59" s="26">
        <v>0</v>
      </c>
      <c r="F59" s="23"/>
      <c r="G59" s="184"/>
      <c r="H59" s="252" t="s">
        <v>51</v>
      </c>
      <c r="I59" s="33">
        <f>CASH_jun26!C59-C_RVS_26_28!B59</f>
        <v>0.10262000000000038</v>
      </c>
      <c r="J59" s="33">
        <f>CASH_jun26!D59-C_RVS_26_28!C59</f>
        <v>2</v>
      </c>
      <c r="K59" s="34">
        <f>CASH_jun26!E59-C_RVS_26_28!D59</f>
        <v>0</v>
      </c>
      <c r="L59" s="35">
        <f>CASH_jun26!F59-C_RVS_26_28!E59</f>
        <v>0</v>
      </c>
      <c r="M59" s="22"/>
      <c r="N59" s="22"/>
      <c r="O59" s="22"/>
      <c r="P59" s="22"/>
      <c r="Q59" s="22"/>
    </row>
    <row r="60" spans="1:17" ht="14.25" customHeight="1" x14ac:dyDescent="0.25">
      <c r="A60" s="59" t="s">
        <v>52</v>
      </c>
      <c r="B60" s="27">
        <v>116979</v>
      </c>
      <c r="C60" s="28">
        <v>141959</v>
      </c>
      <c r="D60" s="28">
        <v>160916</v>
      </c>
      <c r="E60" s="26">
        <v>167117</v>
      </c>
      <c r="F60" s="23"/>
      <c r="G60" s="184"/>
      <c r="H60" s="252" t="s">
        <v>52</v>
      </c>
      <c r="I60" s="33">
        <f>CASH_jun26!C60-C_RVS_26_28!B60</f>
        <v>3156.4693600000028</v>
      </c>
      <c r="J60" s="33">
        <f>CASH_jun26!D60-C_RVS_26_28!C60</f>
        <v>6329</v>
      </c>
      <c r="K60" s="34">
        <f>CASH_jun26!E60-C_RVS_26_28!D60</f>
        <v>2117</v>
      </c>
      <c r="L60" s="35">
        <f>CASH_jun26!F60-C_RVS_26_28!E60</f>
        <v>2745</v>
      </c>
      <c r="M60" s="22"/>
      <c r="N60" s="22"/>
      <c r="O60" s="22"/>
      <c r="P60" s="22"/>
      <c r="Q60" s="22"/>
    </row>
    <row r="61" spans="1:17" ht="14.25" customHeight="1" thickBot="1" x14ac:dyDescent="0.3">
      <c r="A61" s="60" t="s">
        <v>53</v>
      </c>
      <c r="B61" s="63">
        <v>39251</v>
      </c>
      <c r="C61" s="64">
        <v>40816</v>
      </c>
      <c r="D61" s="64">
        <v>52006</v>
      </c>
      <c r="E61" s="62">
        <v>55766</v>
      </c>
      <c r="F61" s="23"/>
      <c r="G61" s="184"/>
      <c r="H61" s="253" t="s">
        <v>53</v>
      </c>
      <c r="I61" s="33">
        <f>CASH_jun26!C61-C_RVS_26_28!B61</f>
        <v>0.16212000000086846</v>
      </c>
      <c r="J61" s="33">
        <f>CASH_jun26!D61-C_RVS_26_28!C61</f>
        <v>3918</v>
      </c>
      <c r="K61" s="34">
        <f>CASH_jun26!E61-C_RVS_26_28!D61</f>
        <v>4645</v>
      </c>
      <c r="L61" s="35">
        <f>CASH_jun26!F61-C_RVS_26_28!E61</f>
        <v>5073</v>
      </c>
      <c r="M61" s="22"/>
      <c r="N61" s="22"/>
      <c r="O61" s="22"/>
      <c r="P61" s="22"/>
      <c r="Q61" s="22"/>
    </row>
    <row r="62" spans="1:17" ht="13.5" customHeight="1" x14ac:dyDescent="0.25">
      <c r="A62" s="16" t="s">
        <v>54</v>
      </c>
      <c r="B62" s="169">
        <f t="shared" ref="B62:E62" si="13">B63+B68</f>
        <v>18281135</v>
      </c>
      <c r="C62" s="67">
        <f t="shared" si="13"/>
        <v>19851093</v>
      </c>
      <c r="D62" s="67">
        <f t="shared" si="13"/>
        <v>20859549</v>
      </c>
      <c r="E62" s="66">
        <f t="shared" si="13"/>
        <v>21199242</v>
      </c>
      <c r="F62" s="23"/>
      <c r="G62" s="184"/>
      <c r="H62" s="16" t="s">
        <v>54</v>
      </c>
      <c r="I62" s="70">
        <f>I63+I68</f>
        <v>14625.706739927904</v>
      </c>
      <c r="J62" s="70">
        <f>J63+J68</f>
        <v>-76242</v>
      </c>
      <c r="K62" s="70">
        <f>K63+K68</f>
        <v>-131496</v>
      </c>
      <c r="L62" s="71">
        <f>L63+L68</f>
        <v>20692</v>
      </c>
      <c r="M62" s="22"/>
      <c r="N62" s="22"/>
      <c r="O62" s="22"/>
      <c r="P62" s="22"/>
      <c r="Q62" s="22"/>
    </row>
    <row r="63" spans="1:17" ht="13.5" customHeight="1" x14ac:dyDescent="0.25">
      <c r="A63" s="72" t="s">
        <v>55</v>
      </c>
      <c r="B63" s="171">
        <f t="shared" ref="B63:E63" si="14">B64+B67</f>
        <v>11966220</v>
      </c>
      <c r="C63" s="45">
        <f t="shared" si="14"/>
        <v>12799328</v>
      </c>
      <c r="D63" s="45">
        <f t="shared" si="14"/>
        <v>13492889</v>
      </c>
      <c r="E63" s="43">
        <f t="shared" si="14"/>
        <v>13983475</v>
      </c>
      <c r="F63" s="23"/>
      <c r="G63" s="184"/>
      <c r="H63" s="72" t="s">
        <v>55</v>
      </c>
      <c r="I63" s="45">
        <f>I64+I67</f>
        <v>-259.8947599993262</v>
      </c>
      <c r="J63" s="45">
        <f t="shared" ref="J63:L63" si="15">J64+J67</f>
        <v>-49741</v>
      </c>
      <c r="K63" s="45">
        <f t="shared" si="15"/>
        <v>-117861</v>
      </c>
      <c r="L63" s="43">
        <f t="shared" si="15"/>
        <v>-12094</v>
      </c>
      <c r="M63" s="22"/>
      <c r="N63" s="22"/>
      <c r="O63" s="22"/>
      <c r="P63" s="22"/>
      <c r="Q63" s="22"/>
    </row>
    <row r="64" spans="1:17" s="3" customFormat="1" ht="13.5" customHeight="1" x14ac:dyDescent="0.25">
      <c r="A64" s="29" t="s">
        <v>56</v>
      </c>
      <c r="B64" s="170">
        <f t="shared" ref="B64:E64" si="16">B65+B66</f>
        <v>11966220</v>
      </c>
      <c r="C64" s="28">
        <f t="shared" si="16"/>
        <v>12799328</v>
      </c>
      <c r="D64" s="28">
        <f t="shared" si="16"/>
        <v>13492889</v>
      </c>
      <c r="E64" s="26">
        <f t="shared" si="16"/>
        <v>13983475</v>
      </c>
      <c r="F64" s="23"/>
      <c r="G64" s="184"/>
      <c r="H64" s="29" t="s">
        <v>56</v>
      </c>
      <c r="I64" s="28">
        <f t="shared" ref="I64:L64" si="17">I65+I66</f>
        <v>-259.8947599993262</v>
      </c>
      <c r="J64" s="28">
        <f t="shared" si="17"/>
        <v>-49741</v>
      </c>
      <c r="K64" s="28">
        <f t="shared" si="17"/>
        <v>-117861</v>
      </c>
      <c r="L64" s="26">
        <f t="shared" si="17"/>
        <v>-12094</v>
      </c>
      <c r="M64" s="22"/>
      <c r="N64" s="22"/>
      <c r="O64" s="22"/>
      <c r="P64" s="22"/>
      <c r="Q64" s="22"/>
    </row>
    <row r="65" spans="1:17" s="3" customFormat="1" ht="13.5" customHeight="1" x14ac:dyDescent="0.25">
      <c r="A65" s="29" t="s">
        <v>57</v>
      </c>
      <c r="B65" s="170">
        <v>11746570</v>
      </c>
      <c r="C65" s="28">
        <v>12580437</v>
      </c>
      <c r="D65" s="28">
        <v>13275218</v>
      </c>
      <c r="E65" s="26">
        <v>13767623</v>
      </c>
      <c r="F65" s="23"/>
      <c r="G65" s="184"/>
      <c r="H65" s="29" t="s">
        <v>57</v>
      </c>
      <c r="I65" s="28">
        <f>CASH_jun26!C65-C_RVS_26_28!B65</f>
        <v>32315.457520000637</v>
      </c>
      <c r="J65" s="28">
        <f>CASH_jun26!D65-C_RVS_26_28!C65</f>
        <v>-30485</v>
      </c>
      <c r="K65" s="28">
        <f>CASH_jun26!E65-C_RVS_26_28!D65</f>
        <v>-98402</v>
      </c>
      <c r="L65" s="26">
        <f>CASH_jun26!F65-C_RVS_26_28!E65</f>
        <v>6456</v>
      </c>
      <c r="M65" s="22"/>
      <c r="N65" s="22"/>
      <c r="O65" s="22"/>
      <c r="P65" s="22"/>
      <c r="Q65" s="22"/>
    </row>
    <row r="66" spans="1:17" s="3" customFormat="1" ht="13.5" customHeight="1" x14ac:dyDescent="0.25">
      <c r="A66" s="29" t="s">
        <v>58</v>
      </c>
      <c r="B66" s="170">
        <v>219650</v>
      </c>
      <c r="C66" s="28">
        <v>218891</v>
      </c>
      <c r="D66" s="28">
        <v>217671</v>
      </c>
      <c r="E66" s="26">
        <v>215852</v>
      </c>
      <c r="F66" s="23"/>
      <c r="G66" s="184"/>
      <c r="H66" s="29" t="s">
        <v>58</v>
      </c>
      <c r="I66" s="28">
        <f>CASH_jun26!C66-C_RVS_26_28!B66</f>
        <v>-32575.352279999963</v>
      </c>
      <c r="J66" s="28">
        <f>CASH_jun26!D66-C_RVS_26_28!C66</f>
        <v>-19256</v>
      </c>
      <c r="K66" s="28">
        <f>CASH_jun26!E66-C_RVS_26_28!D66</f>
        <v>-19459</v>
      </c>
      <c r="L66" s="26">
        <f>CASH_jun26!F66-C_RVS_26_28!E66</f>
        <v>-18550</v>
      </c>
      <c r="M66" s="22"/>
      <c r="N66" s="22"/>
      <c r="O66" s="22"/>
      <c r="P66" s="22"/>
      <c r="Q66" s="22"/>
    </row>
    <row r="67" spans="1:17" s="3" customFormat="1" ht="13.5" customHeight="1" x14ac:dyDescent="0.25">
      <c r="A67" s="29" t="s">
        <v>83</v>
      </c>
      <c r="B67" s="170">
        <v>0</v>
      </c>
      <c r="C67" s="28">
        <v>0</v>
      </c>
      <c r="D67" s="28">
        <v>0</v>
      </c>
      <c r="E67" s="26">
        <v>0</v>
      </c>
      <c r="F67" s="23"/>
      <c r="G67" s="184"/>
      <c r="H67" s="29" t="s">
        <v>83</v>
      </c>
      <c r="I67" s="28">
        <f>CASH_jun26!C67-C_RVS_26_28!B67</f>
        <v>0</v>
      </c>
      <c r="J67" s="28">
        <f>CASH_jun26!D67-C_RVS_26_28!C67</f>
        <v>0</v>
      </c>
      <c r="K67" s="28">
        <f>CASH_jun26!E67-C_RVS_26_28!D67</f>
        <v>0</v>
      </c>
      <c r="L67" s="26">
        <f>CASH_jun26!F67-C_RVS_26_28!E67</f>
        <v>0</v>
      </c>
      <c r="M67" s="22"/>
      <c r="N67" s="22"/>
      <c r="O67" s="22"/>
      <c r="P67" s="22"/>
      <c r="Q67" s="22"/>
    </row>
    <row r="68" spans="1:17" s="3" customFormat="1" ht="13.5" customHeight="1" x14ac:dyDescent="0.25">
      <c r="A68" s="72" t="s">
        <v>59</v>
      </c>
      <c r="B68" s="171">
        <f t="shared" ref="B68:E68" si="18">B69</f>
        <v>6314915</v>
      </c>
      <c r="C68" s="45">
        <f t="shared" si="18"/>
        <v>7051765</v>
      </c>
      <c r="D68" s="45">
        <f t="shared" si="18"/>
        <v>7366660</v>
      </c>
      <c r="E68" s="43">
        <f t="shared" si="18"/>
        <v>7215767</v>
      </c>
      <c r="F68" s="23"/>
      <c r="G68" s="184"/>
      <c r="H68" s="72" t="s">
        <v>59</v>
      </c>
      <c r="I68" s="45">
        <f t="shared" ref="I68:L68" si="19">I69</f>
        <v>14885.60149992723</v>
      </c>
      <c r="J68" s="45">
        <f t="shared" si="19"/>
        <v>-26501</v>
      </c>
      <c r="K68" s="45">
        <f t="shared" si="19"/>
        <v>-13635</v>
      </c>
      <c r="L68" s="43">
        <f t="shared" si="19"/>
        <v>32786</v>
      </c>
      <c r="M68" s="22"/>
      <c r="N68" s="22"/>
      <c r="O68" s="22"/>
      <c r="P68" s="22"/>
      <c r="Q68" s="22"/>
    </row>
    <row r="69" spans="1:17" s="3" customFormat="1" ht="13.5" customHeight="1" x14ac:dyDescent="0.25">
      <c r="A69" s="29" t="s">
        <v>56</v>
      </c>
      <c r="B69" s="170">
        <v>6314915</v>
      </c>
      <c r="C69" s="28">
        <v>7051765</v>
      </c>
      <c r="D69" s="28">
        <v>7366660</v>
      </c>
      <c r="E69" s="26">
        <v>7215767</v>
      </c>
      <c r="F69" s="23"/>
      <c r="G69" s="184"/>
      <c r="H69" s="29" t="s">
        <v>56</v>
      </c>
      <c r="I69" s="28">
        <f>CASH_jun26!C69-C_RVS_26_28!B69</f>
        <v>14885.60149992723</v>
      </c>
      <c r="J69" s="28">
        <f>CASH_jun26!D69-C_RVS_26_28!C69</f>
        <v>-26501</v>
      </c>
      <c r="K69" s="28">
        <f>CASH_jun26!E69-C_RVS_26_28!D69</f>
        <v>-13635</v>
      </c>
      <c r="L69" s="26">
        <f>CASH_jun26!F69-C_RVS_26_28!E69</f>
        <v>32786</v>
      </c>
      <c r="M69" s="22"/>
      <c r="N69" s="22"/>
      <c r="O69" s="22"/>
      <c r="P69" s="22"/>
      <c r="Q69" s="22"/>
    </row>
    <row r="70" spans="1:17" s="3" customFormat="1" ht="14.25" customHeight="1" thickBot="1" x14ac:dyDescent="0.3">
      <c r="A70" s="76" t="s">
        <v>60</v>
      </c>
      <c r="B70" s="172">
        <v>47028</v>
      </c>
      <c r="C70" s="40">
        <v>48059</v>
      </c>
      <c r="D70" s="40">
        <v>46012</v>
      </c>
      <c r="E70" s="54">
        <v>43731</v>
      </c>
      <c r="F70" s="23"/>
      <c r="G70" s="184"/>
      <c r="H70" s="76" t="s">
        <v>60</v>
      </c>
      <c r="I70" s="40">
        <f>CASH_jun26!C70-C_RVS_26_28!B70</f>
        <v>6412.6619000000137</v>
      </c>
      <c r="J70" s="40">
        <f>CASH_jun26!D70-C_RVS_26_28!C70</f>
        <v>7555</v>
      </c>
      <c r="K70" s="40">
        <f>CASH_jun26!E70-C_RVS_26_28!D70</f>
        <v>10621</v>
      </c>
      <c r="L70" s="54">
        <f>CASH_jun26!F70-C_RVS_26_28!E70</f>
        <v>13531</v>
      </c>
      <c r="M70" s="22"/>
      <c r="N70" s="22"/>
      <c r="O70" s="22"/>
      <c r="P70" s="22"/>
      <c r="Q70" s="22"/>
    </row>
    <row r="71" spans="1:17" s="3" customFormat="1" ht="14.25" customHeight="1" thickBot="1" x14ac:dyDescent="0.3">
      <c r="A71" s="78" t="s">
        <v>61</v>
      </c>
      <c r="B71" s="173">
        <f>B38+B35+B30+B18+B5</f>
        <v>25321522</v>
      </c>
      <c r="C71" s="82">
        <f>C38+C35+C30+C18+C5</f>
        <v>27828723</v>
      </c>
      <c r="D71" s="82">
        <f>D38+D35+D30+D18+D5</f>
        <v>27788463</v>
      </c>
      <c r="E71" s="80">
        <f>E38+E35+E30+E18+E5</f>
        <v>28457947</v>
      </c>
      <c r="F71" s="23"/>
      <c r="G71" s="184"/>
      <c r="H71" s="78" t="s">
        <v>61</v>
      </c>
      <c r="I71" s="82">
        <f>+I38+I35+I30+I18+I5</f>
        <v>-189563.40252999737</v>
      </c>
      <c r="J71" s="82">
        <f>+J38+J35+J30+J18+J5</f>
        <v>-1172331</v>
      </c>
      <c r="K71" s="82">
        <f>+K38+K35+K30+K18+K5</f>
        <v>-859583</v>
      </c>
      <c r="L71" s="80">
        <f>+L38+L35+L30+L18+L5</f>
        <v>-296971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3" t="s">
        <v>62</v>
      </c>
      <c r="B72" s="233">
        <f>B9+B13+B17+B19+B20+B30+B47+B52+B54+B39+B40+B43+B44+B51+B42+B16</f>
        <v>20786403</v>
      </c>
      <c r="C72" s="85">
        <f>C9+C13+C17+C19+C20+C30+C47+C52+C54+C39+C40+C43+C44+C51+C42+C16+C49</f>
        <v>22914901</v>
      </c>
      <c r="D72" s="85">
        <f t="shared" ref="D72:E72" si="20">D9+D13+D17+D19+D20+D30+D47+D52+D54+D39+D40+D43+D44+D51+D42+D16+D49</f>
        <v>22743022</v>
      </c>
      <c r="E72" s="84">
        <f t="shared" si="20"/>
        <v>23183816</v>
      </c>
      <c r="F72" s="23"/>
      <c r="G72" s="184"/>
      <c r="H72" s="83" t="s">
        <v>62</v>
      </c>
      <c r="I72" s="85">
        <f>CASH_jun26!C72-C_RVS_26_28!B72</f>
        <v>-180698.14291000366</v>
      </c>
      <c r="J72" s="85">
        <f>CASH_jun26!D72-C_RVS_26_28!C72</f>
        <v>-1159356</v>
      </c>
      <c r="K72" s="85">
        <f>CASH_jun26!E72-C_RVS_26_28!D72</f>
        <v>-933275</v>
      </c>
      <c r="L72" s="84">
        <f>CASH_jun26!F72-C_RVS_26_28!E72</f>
        <v>-356217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83" t="s">
        <v>63</v>
      </c>
      <c r="B73" s="233">
        <f t="shared" ref="B73:C73" si="21">+B57</f>
        <v>39251</v>
      </c>
      <c r="C73" s="85">
        <f t="shared" si="21"/>
        <v>40816</v>
      </c>
      <c r="D73" s="85">
        <f t="shared" ref="D73:E73" si="22">+D57</f>
        <v>52006</v>
      </c>
      <c r="E73" s="84">
        <f t="shared" si="22"/>
        <v>55766</v>
      </c>
      <c r="F73" s="23"/>
      <c r="G73" s="184"/>
      <c r="H73" s="83" t="s">
        <v>63</v>
      </c>
      <c r="I73" s="85">
        <f>CASH_jun26!C73-C_RVS_26_28!B73</f>
        <v>0.16212000000086846</v>
      </c>
      <c r="J73" s="85">
        <f>CASH_jun26!D73-C_RVS_26_28!C73</f>
        <v>3918</v>
      </c>
      <c r="K73" s="85">
        <f>CASH_jun26!E73-C_RVS_26_28!D73</f>
        <v>4645</v>
      </c>
      <c r="L73" s="84">
        <f>CASH_jun26!F73-C_RVS_26_28!E73</f>
        <v>5073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64</v>
      </c>
      <c r="B74" s="170">
        <v>0</v>
      </c>
      <c r="C74" s="28">
        <v>0</v>
      </c>
      <c r="D74" s="28">
        <v>0</v>
      </c>
      <c r="E74" s="26">
        <v>0</v>
      </c>
      <c r="F74" s="23"/>
      <c r="G74" s="184"/>
      <c r="H74" s="24" t="s">
        <v>64</v>
      </c>
      <c r="I74" s="85">
        <f>CASH_jun26!C74-C_RVS_26_28!B74</f>
        <v>0</v>
      </c>
      <c r="J74" s="85">
        <f>CASH_jun26!D74-C_RVS_26_28!C74</f>
        <v>0</v>
      </c>
      <c r="K74" s="85">
        <f>CASH_jun26!E74-C_RVS_26_28!D74</f>
        <v>0</v>
      </c>
      <c r="L74" s="84">
        <f>CASH_jun26!F74-C_RVS_26_28!E74</f>
        <v>0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65</v>
      </c>
      <c r="B75" s="170">
        <f>B10+B36+B37+B48+B55+B14</f>
        <v>3265193</v>
      </c>
      <c r="C75" s="28">
        <f>C10+C36+C37+C48+C55+C14</f>
        <v>3516872</v>
      </c>
      <c r="D75" s="28">
        <f t="shared" ref="D75:E75" si="23">D10+D36+D37+D48+D55+D14</f>
        <v>3606926</v>
      </c>
      <c r="E75" s="26">
        <f t="shared" si="23"/>
        <v>3758554</v>
      </c>
      <c r="F75" s="23"/>
      <c r="G75" s="184"/>
      <c r="H75" s="24" t="s">
        <v>65</v>
      </c>
      <c r="I75" s="85">
        <f>CASH_jun26!C75-C_RVS_26_28!B75</f>
        <v>-4035.1608999995515</v>
      </c>
      <c r="J75" s="85">
        <f>CASH_jun26!D75-C_RVS_26_28!C75</f>
        <v>-8826</v>
      </c>
      <c r="K75" s="85">
        <f>CASH_jun26!E75-C_RVS_26_28!D75</f>
        <v>25845</v>
      </c>
      <c r="L75" s="84">
        <f>CASH_jun26!F75-C_RVS_26_28!E75</f>
        <v>14056</v>
      </c>
      <c r="M75" s="22"/>
      <c r="N75" s="22"/>
      <c r="O75" s="22"/>
      <c r="P75" s="22"/>
      <c r="Q75" s="22"/>
    </row>
    <row r="76" spans="1:17" s="3" customFormat="1" ht="13.5" customHeight="1" x14ac:dyDescent="0.25">
      <c r="A76" s="24" t="s">
        <v>66</v>
      </c>
      <c r="B76" s="170">
        <f>B11+B56+B15</f>
        <v>1198574</v>
      </c>
      <c r="C76" s="28">
        <f>C11+C56+C15</f>
        <v>1325656</v>
      </c>
      <c r="D76" s="28">
        <f t="shared" ref="D76:E76" si="24">D11+D56+D15</f>
        <v>1366615</v>
      </c>
      <c r="E76" s="26">
        <f t="shared" si="24"/>
        <v>1439436</v>
      </c>
      <c r="F76" s="23"/>
      <c r="G76" s="184"/>
      <c r="H76" s="24" t="s">
        <v>66</v>
      </c>
      <c r="I76" s="85">
        <f>CASH_jun26!C76-C_RVS_26_28!B76</f>
        <v>-2200.3002800000831</v>
      </c>
      <c r="J76" s="85">
        <f>CASH_jun26!D76-C_RVS_26_28!C76</f>
        <v>-6492</v>
      </c>
      <c r="K76" s="85">
        <f>CASH_jun26!E76-C_RVS_26_28!D76</f>
        <v>45498</v>
      </c>
      <c r="L76" s="84">
        <f>CASH_jun26!F76-C_RVS_26_28!E76</f>
        <v>42437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67</v>
      </c>
      <c r="B77" s="170">
        <f>B45</f>
        <v>1000</v>
      </c>
      <c r="C77" s="28">
        <f>C45</f>
        <v>0</v>
      </c>
      <c r="D77" s="28">
        <f t="shared" ref="D77:E77" si="25">D45</f>
        <v>0</v>
      </c>
      <c r="E77" s="26">
        <f t="shared" si="25"/>
        <v>0</v>
      </c>
      <c r="F77" s="23"/>
      <c r="G77" s="184"/>
      <c r="H77" s="24" t="s">
        <v>67</v>
      </c>
      <c r="I77" s="85">
        <f>CASH_jun26!C77-C_RVS_26_28!B77</f>
        <v>242.38833</v>
      </c>
      <c r="J77" s="85">
        <f>CASH_jun26!D77-C_RVS_26_28!C77</f>
        <v>400</v>
      </c>
      <c r="K77" s="85">
        <f>CASH_jun26!E77-C_RVS_26_28!D77</f>
        <v>0</v>
      </c>
      <c r="L77" s="84">
        <f>CASH_jun26!F77-C_RVS_26_28!E77</f>
        <v>0</v>
      </c>
      <c r="M77" s="22"/>
      <c r="N77" s="22"/>
      <c r="O77" s="22"/>
      <c r="P77" s="22"/>
      <c r="Q77" s="22"/>
    </row>
    <row r="78" spans="1:17" ht="13.5" customHeight="1" x14ac:dyDescent="0.25">
      <c r="A78" s="24" t="s">
        <v>68</v>
      </c>
      <c r="B78" s="170">
        <f>B49+B50</f>
        <v>31101</v>
      </c>
      <c r="C78" s="28">
        <f>+C50</f>
        <v>30478</v>
      </c>
      <c r="D78" s="28">
        <f t="shared" ref="D78:E78" si="26">+D50</f>
        <v>19894</v>
      </c>
      <c r="E78" s="26">
        <f t="shared" si="26"/>
        <v>20375</v>
      </c>
      <c r="F78" s="23"/>
      <c r="G78" s="184"/>
      <c r="H78" s="24" t="s">
        <v>68</v>
      </c>
      <c r="I78" s="85">
        <f>CASH_jun26!C78-C_RVS_26_28!B78</f>
        <v>-2872.3488900000011</v>
      </c>
      <c r="J78" s="85">
        <f>CASH_jun26!D78-C_RVS_26_28!C78</f>
        <v>-1975</v>
      </c>
      <c r="K78" s="85">
        <f>CASH_jun26!E78-C_RVS_26_28!D78</f>
        <v>-2296</v>
      </c>
      <c r="L78" s="84">
        <f>CASH_jun26!F78-C_RVS_26_28!E78</f>
        <v>-2320</v>
      </c>
      <c r="M78" s="22"/>
      <c r="N78" s="22"/>
      <c r="O78" s="22"/>
      <c r="P78" s="22"/>
      <c r="Q78" s="22"/>
    </row>
    <row r="79" spans="1:17" ht="14.25" customHeight="1" thickBot="1" x14ac:dyDescent="0.3">
      <c r="A79" s="86" t="s">
        <v>69</v>
      </c>
      <c r="B79" s="245">
        <f t="shared" ref="B79:E79" si="27">B62</f>
        <v>18281135</v>
      </c>
      <c r="C79" s="88">
        <f t="shared" si="27"/>
        <v>19851093</v>
      </c>
      <c r="D79" s="88">
        <f t="shared" si="27"/>
        <v>20859549</v>
      </c>
      <c r="E79" s="87">
        <f t="shared" si="27"/>
        <v>21199242</v>
      </c>
      <c r="F79" s="23"/>
      <c r="G79" s="184"/>
      <c r="H79" s="86" t="s">
        <v>69</v>
      </c>
      <c r="I79" s="88">
        <f>CASH_jun26!C79-C_RVS_26_28!B79</f>
        <v>14625.706739928573</v>
      </c>
      <c r="J79" s="88">
        <f>CASH_jun26!D79-C_RVS_26_28!C79</f>
        <v>-76242</v>
      </c>
      <c r="K79" s="88">
        <f>CASH_jun26!E79-C_RVS_26_28!D79</f>
        <v>-131496</v>
      </c>
      <c r="L79" s="87">
        <f>CASH_jun26!F79-C_RVS_26_28!E79</f>
        <v>20692</v>
      </c>
      <c r="M79" s="22"/>
      <c r="N79" s="22"/>
      <c r="O79" s="22"/>
      <c r="P79" s="22"/>
      <c r="Q79" s="22"/>
    </row>
    <row r="80" spans="1:17" ht="14.25" customHeight="1" thickBot="1" x14ac:dyDescent="0.3">
      <c r="A80" s="89" t="s">
        <v>70</v>
      </c>
      <c r="B80" s="246">
        <f t="shared" ref="B80:E80" si="28">B71+B79</f>
        <v>43602657</v>
      </c>
      <c r="C80" s="239">
        <f t="shared" si="28"/>
        <v>47679816</v>
      </c>
      <c r="D80" s="239">
        <f t="shared" si="28"/>
        <v>48648012</v>
      </c>
      <c r="E80" s="90">
        <f t="shared" si="28"/>
        <v>49657189</v>
      </c>
      <c r="F80" s="23"/>
      <c r="G80" s="184"/>
      <c r="H80" s="89" t="s">
        <v>70</v>
      </c>
      <c r="I80" s="82">
        <f t="shared" ref="I80:L80" si="29">+I79+I71</f>
        <v>-174937.6957900688</v>
      </c>
      <c r="J80" s="82">
        <f t="shared" si="29"/>
        <v>-1248573</v>
      </c>
      <c r="K80" s="82">
        <f t="shared" si="29"/>
        <v>-991079</v>
      </c>
      <c r="L80" s="80">
        <f t="shared" si="29"/>
        <v>-276279</v>
      </c>
      <c r="M80" s="22"/>
      <c r="N80" s="22"/>
      <c r="O80" s="22"/>
      <c r="P80" s="22"/>
      <c r="Q80" s="22"/>
    </row>
    <row r="81" spans="1:12" ht="17.25" customHeight="1" thickBot="1" x14ac:dyDescent="0.35">
      <c r="A81" s="120"/>
      <c r="B81" s="229"/>
      <c r="C81" s="229"/>
      <c r="D81" s="229"/>
      <c r="E81" s="229"/>
      <c r="F81" s="23"/>
      <c r="G81" s="22"/>
      <c r="H81" s="92"/>
      <c r="I81" s="221"/>
      <c r="J81" s="221"/>
      <c r="K81" s="221"/>
      <c r="L81" s="221"/>
    </row>
    <row r="82" spans="1:12" ht="14.25" customHeight="1" thickBot="1" x14ac:dyDescent="0.35">
      <c r="A82" s="177" t="s">
        <v>84</v>
      </c>
      <c r="B82" s="129">
        <v>1056259</v>
      </c>
      <c r="C82" s="130">
        <v>1123131</v>
      </c>
      <c r="D82" s="130">
        <v>1174799</v>
      </c>
      <c r="E82" s="127">
        <v>1240043</v>
      </c>
      <c r="F82" s="23"/>
      <c r="G82" s="184"/>
      <c r="H82" s="100" t="s">
        <v>74</v>
      </c>
      <c r="I82" s="131">
        <f>CASH_jun26!C82-C_RVS_26_28!B82</f>
        <v>-3407</v>
      </c>
      <c r="J82" s="131">
        <f>CASH_jun26!D82-C_RVS_26_28!C82</f>
        <v>6464</v>
      </c>
      <c r="K82" s="131">
        <f>CASH_jun26!E82-C_RVS_26_28!D82</f>
        <v>-15985</v>
      </c>
      <c r="L82" s="131">
        <f>CASH_jun26!F82-C_RVS_26_28!E82</f>
        <v>-28558</v>
      </c>
    </row>
    <row r="83" spans="1:12" x14ac:dyDescent="0.25">
      <c r="B83" s="164"/>
      <c r="C83" s="164"/>
      <c r="D83" s="164"/>
      <c r="E83" s="164"/>
      <c r="I83" s="133"/>
      <c r="J83" s="133"/>
      <c r="K83" s="133"/>
      <c r="L83" s="133"/>
    </row>
    <row r="84" spans="1:12" ht="13" x14ac:dyDescent="0.3">
      <c r="A84" s="402"/>
      <c r="B84" s="164"/>
      <c r="C84" s="164"/>
      <c r="D84" s="164"/>
      <c r="E84" s="164"/>
      <c r="I84" s="133"/>
      <c r="J84" s="133"/>
      <c r="K84" s="133"/>
      <c r="L84" s="133"/>
    </row>
    <row r="85" spans="1:12" ht="13" x14ac:dyDescent="0.3">
      <c r="A85" s="402"/>
      <c r="B85" s="164"/>
      <c r="C85" s="164"/>
      <c r="D85" s="164"/>
      <c r="E85" s="164"/>
      <c r="F85" s="132"/>
      <c r="G85" s="132"/>
      <c r="H85" s="132"/>
      <c r="I85" s="132"/>
      <c r="J85" s="132"/>
      <c r="K85" s="132"/>
      <c r="L85" s="132"/>
    </row>
    <row r="86" spans="1:12" x14ac:dyDescent="0.25">
      <c r="B86" s="164"/>
      <c r="C86" s="164"/>
      <c r="D86" s="164"/>
      <c r="E86" s="164"/>
      <c r="I86" s="132"/>
      <c r="J86" s="132"/>
      <c r="K86" s="132"/>
      <c r="L86" s="132"/>
    </row>
    <row r="87" spans="1:12" x14ac:dyDescent="0.25">
      <c r="B87" s="164"/>
      <c r="C87" s="164"/>
      <c r="D87" s="164"/>
      <c r="E87" s="164"/>
      <c r="I87" s="132"/>
      <c r="J87" s="132"/>
      <c r="K87" s="132"/>
      <c r="L87" s="132"/>
    </row>
    <row r="88" spans="1:12" x14ac:dyDescent="0.25">
      <c r="B88" s="164"/>
      <c r="C88" s="164"/>
      <c r="D88" s="164"/>
      <c r="E88" s="164"/>
      <c r="I88" s="132"/>
      <c r="J88" s="132"/>
      <c r="K88" s="132"/>
      <c r="L88" s="132"/>
    </row>
    <row r="89" spans="1:12" x14ac:dyDescent="0.25">
      <c r="B89" s="164"/>
      <c r="C89" s="164"/>
      <c r="D89" s="164"/>
      <c r="E89" s="164"/>
      <c r="I89" s="132"/>
      <c r="J89" s="132"/>
      <c r="K89" s="132"/>
      <c r="L89" s="132"/>
    </row>
    <row r="90" spans="1:12" x14ac:dyDescent="0.25">
      <c r="B90" s="164"/>
      <c r="C90" s="164"/>
      <c r="D90" s="164"/>
      <c r="E90" s="164"/>
      <c r="I90" s="132"/>
      <c r="J90" s="132"/>
      <c r="K90" s="132"/>
      <c r="L90" s="132"/>
    </row>
    <row r="91" spans="1:12" x14ac:dyDescent="0.25">
      <c r="B91" s="164"/>
      <c r="C91" s="164"/>
      <c r="D91" s="164"/>
      <c r="E91" s="164"/>
      <c r="I91" s="132"/>
      <c r="J91" s="132"/>
      <c r="K91" s="132"/>
      <c r="L91" s="132"/>
    </row>
    <row r="92" spans="1:12" x14ac:dyDescent="0.25">
      <c r="B92" s="164"/>
      <c r="C92" s="164"/>
      <c r="D92" s="164"/>
      <c r="E92" s="164"/>
      <c r="I92" s="132"/>
      <c r="J92" s="132"/>
      <c r="K92" s="132"/>
      <c r="L92" s="132"/>
    </row>
    <row r="93" spans="1:12" x14ac:dyDescent="0.25">
      <c r="B93" s="164"/>
      <c r="C93" s="164"/>
      <c r="D93" s="164"/>
      <c r="E93" s="164"/>
      <c r="I93" s="132"/>
      <c r="J93" s="132"/>
      <c r="K93" s="132"/>
      <c r="L93" s="132"/>
    </row>
    <row r="94" spans="1:12" x14ac:dyDescent="0.25">
      <c r="B94" s="164"/>
      <c r="C94" s="164"/>
      <c r="D94" s="164"/>
      <c r="E94" s="164"/>
      <c r="I94" s="132"/>
      <c r="J94" s="132"/>
      <c r="K94" s="132"/>
      <c r="L94" s="132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ESA2010_jun26</vt:lpstr>
      <vt:lpstr>CASH_jun26</vt:lpstr>
      <vt:lpstr>Sankcie_jun26</vt:lpstr>
      <vt:lpstr>ESA2010_rozdiel_vybory</vt:lpstr>
      <vt:lpstr>ESA2010_feb26</vt:lpstr>
      <vt:lpstr>A_RVS_26_28</vt:lpstr>
      <vt:lpstr>C_RVS_26_28</vt:lpstr>
      <vt:lpstr>A_RVS_26_28!Oblasť_tlače</vt:lpstr>
      <vt:lpstr>C_RVS_26_28!Oblasť_tlače</vt:lpstr>
      <vt:lpstr>CASH_jun26!Oblasť_tlače</vt:lpstr>
      <vt:lpstr>ESA2010_feb26!Oblasť_tlače</vt:lpstr>
      <vt:lpstr>ESA2010_rozdiel_vybory!Oblasť_tlače</vt:lpstr>
      <vt:lpstr>Sankcie_jun26!Oblasť_tlače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Antalicová Jana</cp:lastModifiedBy>
  <cp:lastPrinted>2019-06-20T08:34:22Z</cp:lastPrinted>
  <dcterms:created xsi:type="dcterms:W3CDTF">2013-05-20T16:27:45Z</dcterms:created>
  <dcterms:modified xsi:type="dcterms:W3CDTF">2026-06-22T08:05:09Z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2025-09-10T11:04:03Z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92f6132c-92ca-4121-a029-e33c6c877881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