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theme/themeOverride2.xml" ContentType="application/vnd.openxmlformats-officedocument.themeOverride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charts/chart15.xml" ContentType="application/vnd.openxmlformats-officedocument.drawingml.chart+xml"/>
  <Override PartName="/xl/theme/themeOverride4.xml" ContentType="application/vnd.openxmlformats-officedocument.themeOverride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ml.chartshapes+xml"/>
  <Override PartName="/xl/charts/chart18.xml" ContentType="application/vnd.openxmlformats-officedocument.drawingml.chart+xml"/>
  <Override PartName="/xl/drawings/drawing10.xml" ContentType="application/vnd.openxmlformats-officedocument.drawingml.chartshapes+xml"/>
  <Override PartName="/xl/charts/chart19.xml" ContentType="application/vnd.openxmlformats-officedocument.drawingml.chart+xml"/>
  <Override PartName="/xl/theme/themeOverride6.xml" ContentType="application/vnd.openxmlformats-officedocument.themeOverride+xml"/>
  <Override PartName="/xl/charts/chart20.xml" ContentType="application/vnd.openxmlformats-officedocument.drawingml.chart+xml"/>
  <Override PartName="/xl/theme/themeOverride7.xml" ContentType="application/vnd.openxmlformats-officedocument.themeOverrid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2.xml" ContentType="application/vnd.openxmlformats-officedocument.drawingml.chart+xml"/>
  <Override PartName="/xl/theme/themeOverride8.xml" ContentType="application/vnd.openxmlformats-officedocument.themeOverride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5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26.xml" ContentType="application/vnd.openxmlformats-officedocument.drawingml.chart+xml"/>
  <Override PartName="/xl/theme/themeOverride10.xml" ContentType="application/vnd.openxmlformats-officedocument.themeOverride+xml"/>
  <Override PartName="/xl/charts/chart27.xml" ContentType="application/vnd.openxmlformats-officedocument.drawingml.chart+xml"/>
  <Override PartName="/xl/theme/themeOverride11.xml" ContentType="application/vnd.openxmlformats-officedocument.themeOverrid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theme/themeOverride12.xml" ContentType="application/vnd.openxmlformats-officedocument.themeOverride+xml"/>
  <Override PartName="/xl/charts/chart29.xml" ContentType="application/vnd.openxmlformats-officedocument.drawingml.chart+xml"/>
  <Override PartName="/xl/theme/themeOverride13.xml" ContentType="application/vnd.openxmlformats-officedocument.themeOverride+xml"/>
  <Override PartName="/xl/charts/chart30.xml" ContentType="application/vnd.openxmlformats-officedocument.drawingml.chart+xml"/>
  <Override PartName="/xl/theme/themeOverride14.xml" ContentType="application/vnd.openxmlformats-officedocument.themeOverride+xml"/>
  <Override PartName="/xl/charts/chart31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theme/themeOverride16.xml" ContentType="application/vnd.openxmlformats-officedocument.themeOverride+xml"/>
  <Override PartName="/xl/charts/chart3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4.xml" ContentType="application/vnd.openxmlformats-officedocument.drawingml.chart+xml"/>
  <Override PartName="/xl/theme/themeOverride17.xml" ContentType="application/vnd.openxmlformats-officedocument.themeOverride+xml"/>
  <Override PartName="/xl/charts/chart3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9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1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4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5.xml" ContentType="application/vnd.openxmlformats-officedocument.drawingml.chartshapes+xml"/>
  <Override PartName="/xl/charts/chart4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4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4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drawings/drawing27.xml" ContentType="application/vnd.openxmlformats-officedocument.drawing+xml"/>
  <Override PartName="/xl/charts/chart48.xml" ContentType="application/vnd.openxmlformats-officedocument.drawingml.chart+xml"/>
  <Override PartName="/xl/theme/themeOverride19.xml" ContentType="application/vnd.openxmlformats-officedocument.themeOverride+xml"/>
  <Override PartName="/xl/charts/chart49.xml" ContentType="application/vnd.openxmlformats-officedocument.drawingml.chart+xml"/>
  <Override PartName="/xl/theme/themeOverride20.xml" ContentType="application/vnd.openxmlformats-officedocument.themeOverride+xml"/>
  <Override PartName="/xl/drawings/drawing28.xml" ContentType="application/vnd.openxmlformats-officedocument.drawing+xml"/>
  <Override PartName="/xl/charts/chart50.xml" ContentType="application/vnd.openxmlformats-officedocument.drawingml.chart+xml"/>
  <Override PartName="/xl/theme/themeOverride21.xml" ContentType="application/vnd.openxmlformats-officedocument.themeOverride+xml"/>
  <Override PartName="/xl/charts/chart51.xml" ContentType="application/vnd.openxmlformats-officedocument.drawingml.chart+xml"/>
  <Override PartName="/xl/theme/themeOverride22.xml" ContentType="application/vnd.openxmlformats-officedocument.themeOverride+xml"/>
  <Override PartName="/xl/charts/chart5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5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9.xml" ContentType="application/vnd.openxmlformats-officedocument.drawing+xml"/>
  <Override PartName="/xl/charts/chart54.xml" ContentType="application/vnd.openxmlformats-officedocument.drawingml.chart+xml"/>
  <Override PartName="/xl/theme/themeOverride23.xml" ContentType="application/vnd.openxmlformats-officedocument.themeOverride+xml"/>
  <Override PartName="/xl/charts/chart55.xml" ContentType="application/vnd.openxmlformats-officedocument.drawingml.chart+xml"/>
  <Override PartName="/xl/theme/themeOverride24.xml" ContentType="application/vnd.openxmlformats-officedocument.themeOverride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56.xml" ContentType="application/vnd.openxmlformats-officedocument.drawingml.chart+xml"/>
  <Override PartName="/xl/theme/themeOverride25.xml" ContentType="application/vnd.openxmlformats-officedocument.themeOverride+xml"/>
  <Override PartName="/xl/charts/chart57.xml" ContentType="application/vnd.openxmlformats-officedocument.drawingml.chart+xml"/>
  <Override PartName="/xl/theme/themeOverride26.xml" ContentType="application/vnd.openxmlformats-officedocument.themeOverride+xml"/>
  <Override PartName="/xl/charts/chart58.xml" ContentType="application/vnd.openxmlformats-officedocument.drawingml.chart+xml"/>
  <Override PartName="/xl/theme/themeOverride27.xml" ContentType="application/vnd.openxmlformats-officedocument.themeOverride+xml"/>
  <Override PartName="/xl/charts/chart59.xml" ContentType="application/vnd.openxmlformats-officedocument.drawingml.chart+xml"/>
  <Override PartName="/xl/theme/themeOverride28.xml" ContentType="application/vnd.openxmlformats-officedocument.themeOverrid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60.xml" ContentType="application/vnd.openxmlformats-officedocument.drawingml.chart+xml"/>
  <Override PartName="/xl/drawings/drawing40.xml" ContentType="application/vnd.openxmlformats-officedocument.drawingml.chartshapes+xml"/>
  <Override PartName="/xl/charts/chart6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6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6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64.xml" ContentType="application/vnd.openxmlformats-officedocument.drawingml.chart+xml"/>
  <Override PartName="/xl/theme/themeOverride29.xml" ContentType="application/vnd.openxmlformats-officedocument.themeOverride+xml"/>
  <Override PartName="/xl/charts/chart65.xml" ContentType="application/vnd.openxmlformats-officedocument.drawingml.chart+xml"/>
  <Override PartName="/xl/theme/themeOverride30.xml" ContentType="application/vnd.openxmlformats-officedocument.themeOverride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48.xml" ContentType="application/vnd.openxmlformats-officedocument.drawing+xml"/>
  <Override PartName="/xl/charts/chart6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9.xml" ContentType="application/vnd.openxmlformats-officedocument.drawing+xml"/>
  <Override PartName="/xl/comments1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harts/chart7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7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8.xml" ContentType="application/vnd.openxmlformats-officedocument.drawingml.chartshapes+xml"/>
  <Override PartName="/xl/charts/chart73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74.xml" ContentType="application/vnd.openxmlformats-officedocument.drawingml.chart+xml"/>
  <Override PartName="/xl/theme/themeOverride31.xml" ContentType="application/vnd.openxmlformats-officedocument.themeOverride+xml"/>
  <Override PartName="/xl/drawings/drawing63.xml" ContentType="application/vnd.openxmlformats-officedocument.drawing+xml"/>
  <Override PartName="/xl/charts/chart7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6.xml" ContentType="application/vnd.openxmlformats-officedocument.drawing+xml"/>
  <Override PartName="/xl/charts/chart7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7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7.xml" ContentType="application/vnd.openxmlformats-officedocument.drawing+xml"/>
  <Override PartName="/xl/charts/chart7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7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8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8.xml" ContentType="application/vnd.openxmlformats-officedocument.drawing+xml"/>
  <Override PartName="/xl/charts/chart8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8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8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8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69.xml" ContentType="application/vnd.openxmlformats-officedocument.drawing+xml"/>
  <Override PartName="/xl/charts/chart8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8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8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8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0.xml" ContentType="application/vnd.openxmlformats-officedocument.drawing+xml"/>
  <Override PartName="/xl/charts/chart9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9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9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9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71.xml" ContentType="application/vnd.openxmlformats-officedocument.drawing+xml"/>
  <Override PartName="/xl/charts/chart9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9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9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9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72.xml" ContentType="application/vnd.openxmlformats-officedocument.drawing+xml"/>
  <Override PartName="/xl/charts/chart98.xml" ContentType="application/vnd.openxmlformats-officedocument.drawingml.chart+xml"/>
  <Override PartName="/xl/theme/themeOverride32.xml" ContentType="application/vnd.openxmlformats-officedocument.themeOverride+xml"/>
  <Override PartName="/xl/charts/chart99.xml" ContentType="application/vnd.openxmlformats-officedocument.drawingml.chart+xml"/>
  <Override PartName="/xl/theme/themeOverride33.xml" ContentType="application/vnd.openxmlformats-officedocument.themeOverride+xml"/>
  <Override PartName="/xl/charts/chart100.xml" ContentType="application/vnd.openxmlformats-officedocument.drawingml.chart+xml"/>
  <Override PartName="/xl/theme/themeOverride34.xml" ContentType="application/vnd.openxmlformats-officedocument.themeOverride+xml"/>
  <Override PartName="/xl/charts/chart101.xml" ContentType="application/vnd.openxmlformats-officedocument.drawingml.chart+xml"/>
  <Override PartName="/xl/theme/themeOverride35.xml" ContentType="application/vnd.openxmlformats-officedocument.themeOverride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charts/chart10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10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10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10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75.xml" ContentType="application/vnd.openxmlformats-officedocument.drawing+xml"/>
  <Override PartName="/xl/charts/chart10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107.xml" ContentType="application/vnd.openxmlformats-officedocument.drawingml.chart+xml"/>
  <Override PartName="/xl/theme/themeOverride36.xml" ContentType="application/vnd.openxmlformats-officedocument.themeOverride+xml"/>
  <Override PartName="/xl/charts/chart108.xml" ContentType="application/vnd.openxmlformats-officedocument.drawingml.chart+xml"/>
  <Override PartName="/xl/theme/themeOverride37.xml" ContentType="application/vnd.openxmlformats-officedocument.themeOverride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aveExternalLinkValues="0" updateLinks="never" codeName="Tento_zošit"/>
  <bookViews>
    <workbookView xWindow="240" yWindow="105" windowWidth="14805" windowHeight="8010" tabRatio="830"/>
  </bookViews>
  <sheets>
    <sheet name="Obsah" sheetId="73" r:id="rId1"/>
    <sheet name="Graf 1 + 2" sheetId="142" r:id="rId2"/>
    <sheet name="Tab 1 " sheetId="4" r:id="rId3"/>
    <sheet name="Graf 5+6" sheetId="6" r:id="rId4"/>
    <sheet name="Graf 3+4" sheetId="5" r:id="rId5"/>
    <sheet name="Grafy 7 a 8" sheetId="7" r:id="rId6"/>
    <sheet name="Graf 8,9,10 " sheetId="8" r:id="rId7"/>
    <sheet name="Graf 11+12 " sheetId="80" r:id="rId8"/>
    <sheet name="Tab 2 " sheetId="11" r:id="rId9"/>
    <sheet name="Tab 3 " sheetId="81" r:id="rId10"/>
    <sheet name="Tab 4 " sheetId="82" r:id="rId11"/>
    <sheet name="Graf 13 + Tab 5 " sheetId="83" r:id="rId12"/>
    <sheet name="Graf 14 + 15 " sheetId="84" r:id="rId13"/>
    <sheet name="Graf 16 + 17 " sheetId="12" r:id="rId14"/>
    <sheet name="Graf 18 + Tab 6" sheetId="101" r:id="rId15"/>
    <sheet name="Graf 19 + Tab 7" sheetId="102" r:id="rId16"/>
    <sheet name="Graf 20 + Tab 8 " sheetId="103" r:id="rId17"/>
    <sheet name="Graf 21  + Tab 9 " sheetId="104" r:id="rId18"/>
    <sheet name="Tab 10" sheetId="16" r:id="rId19"/>
    <sheet name="ESA2010_source" sheetId="110" r:id="rId20"/>
    <sheet name="Graf 22 + 23 " sheetId="94" r:id="rId21"/>
    <sheet name="Graf 24" sheetId="18" r:id="rId22"/>
    <sheet name="Graf 25 + 26" sheetId="112" r:id="rId23"/>
    <sheet name="Graf 27" sheetId="20" r:id="rId24"/>
    <sheet name="Tab 11" sheetId="111" r:id="rId25"/>
    <sheet name="Tab 12" sheetId="22" r:id="rId26"/>
    <sheet name="Tab 13 " sheetId="26" r:id="rId27"/>
    <sheet name="Tab 14 " sheetId="24" r:id="rId28"/>
    <sheet name="Tab 15 " sheetId="113" r:id="rId29"/>
    <sheet name="Tab 16 " sheetId="91" r:id="rId30"/>
    <sheet name="Tab 17 " sheetId="25" r:id="rId31"/>
    <sheet name="Graf 28 + 29 " sheetId="96" r:id="rId32"/>
    <sheet name="Tab 18 " sheetId="28" r:id="rId33"/>
    <sheet name="Graf 30 + 31; tab 19" sheetId="29" r:id="rId34"/>
    <sheet name="Graf 32 " sheetId="30" r:id="rId35"/>
    <sheet name="Tab 20 " sheetId="31" r:id="rId36"/>
    <sheet name="Tab 21 " sheetId="32" r:id="rId37"/>
    <sheet name="Graf 33 " sheetId="97" r:id="rId38"/>
    <sheet name="Tab 22" sheetId="114" r:id="rId39"/>
    <sheet name="Graf 34 " sheetId="98" r:id="rId40"/>
    <sheet name="Graf  35 " sheetId="100" r:id="rId41"/>
    <sheet name="Graf 36 " sheetId="35" r:id="rId42"/>
    <sheet name="Tab 23 " sheetId="36" r:id="rId43"/>
    <sheet name="Tab 24 " sheetId="37" r:id="rId44"/>
    <sheet name="Graf 37 + Tab 25" sheetId="115" r:id="rId45"/>
    <sheet name="Tab 26 " sheetId="38" r:id="rId46"/>
    <sheet name="Tab 27 " sheetId="39" r:id="rId47"/>
    <sheet name="Tab 28 + 29" sheetId="116" r:id="rId48"/>
    <sheet name="Graf 38 + 39" sheetId="141" r:id="rId49"/>
    <sheet name="Tab 30" sheetId="40" r:id="rId50"/>
    <sheet name="Tab 31" sheetId="41" r:id="rId51"/>
    <sheet name="Graf 40" sheetId="105" r:id="rId52"/>
    <sheet name="Graf 41" sheetId="106" r:id="rId53"/>
    <sheet name="Graf 42" sheetId="124" r:id="rId54"/>
    <sheet name="Graf 43" sheetId="125" r:id="rId55"/>
    <sheet name="Graf 44 + 45" sheetId="138" r:id="rId56"/>
    <sheet name="Graf 46 + 47" sheetId="139" r:id="rId57"/>
    <sheet name="Graf 48 + 49" sheetId="140" r:id="rId58"/>
    <sheet name="Graf 50 + 51" sheetId="129" r:id="rId59"/>
    <sheet name="Graf 52 + 53" sheetId="130" r:id="rId60"/>
    <sheet name="Graf 54 +55" sheetId="136" r:id="rId61"/>
    <sheet name="Tab 32" sheetId="135" r:id="rId62"/>
    <sheet name="Graf 56" sheetId="137" r:id="rId63"/>
    <sheet name="Graf 57 + 58 + 59" sheetId="134" r:id="rId64"/>
    <sheet name="DRM" sheetId="143" r:id="rId65"/>
    <sheet name="One-offs EK" sheetId="78" r:id="rId66"/>
  </sheets>
  <externalReferences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</externalReferences>
  <definedNames>
    <definedName name="\A" localSheetId="64">#REF!</definedName>
    <definedName name="\A" localSheetId="1">#REF!</definedName>
    <definedName name="\A" localSheetId="56">#REF!</definedName>
    <definedName name="\A">#REF!</definedName>
    <definedName name="\B" localSheetId="64">#REF!</definedName>
    <definedName name="\B" localSheetId="1">#REF!</definedName>
    <definedName name="\B" localSheetId="56">#REF!</definedName>
    <definedName name="\B">#REF!</definedName>
    <definedName name="\C" localSheetId="64">#REF!</definedName>
    <definedName name="\C" localSheetId="1">#REF!</definedName>
    <definedName name="\C" localSheetId="56">#REF!</definedName>
    <definedName name="\C">#REF!</definedName>
    <definedName name="\D" localSheetId="64">#REF!</definedName>
    <definedName name="\D" localSheetId="1">#REF!</definedName>
    <definedName name="\D" localSheetId="56">#REF!</definedName>
    <definedName name="\D">#REF!</definedName>
    <definedName name="\E" localSheetId="64">#REF!</definedName>
    <definedName name="\E" localSheetId="1">#REF!</definedName>
    <definedName name="\E" localSheetId="56">#REF!</definedName>
    <definedName name="\E">#REF!</definedName>
    <definedName name="\F" localSheetId="64">#REF!</definedName>
    <definedName name="\F" localSheetId="1">#REF!</definedName>
    <definedName name="\F" localSheetId="56">#REF!</definedName>
    <definedName name="\F">#REF!</definedName>
    <definedName name="\G" localSheetId="64">#REF!</definedName>
    <definedName name="\G" localSheetId="1">#REF!</definedName>
    <definedName name="\G" localSheetId="56">#REF!</definedName>
    <definedName name="\G">#REF!</definedName>
    <definedName name="\H" localSheetId="64">#REF!</definedName>
    <definedName name="\H" localSheetId="1">#REF!</definedName>
    <definedName name="\H" localSheetId="56">#REF!</definedName>
    <definedName name="\H">#REF!</definedName>
    <definedName name="\I" localSheetId="64">#REF!</definedName>
    <definedName name="\I" localSheetId="1">#REF!</definedName>
    <definedName name="\I" localSheetId="56">#REF!</definedName>
    <definedName name="\I">#REF!</definedName>
    <definedName name="\J" localSheetId="64">#REF!</definedName>
    <definedName name="\J" localSheetId="1">#REF!</definedName>
    <definedName name="\J" localSheetId="56">#REF!</definedName>
    <definedName name="\J">#REF!</definedName>
    <definedName name="\K" localSheetId="64">#REF!</definedName>
    <definedName name="\K" localSheetId="1">#REF!</definedName>
    <definedName name="\K" localSheetId="56">#REF!</definedName>
    <definedName name="\K">#REF!</definedName>
    <definedName name="\L" localSheetId="64">#REF!</definedName>
    <definedName name="\L" localSheetId="1">#REF!</definedName>
    <definedName name="\L" localSheetId="56">#REF!</definedName>
    <definedName name="\L">#REF!</definedName>
    <definedName name="\M" localSheetId="64">#REF!</definedName>
    <definedName name="\M" localSheetId="1">#REF!</definedName>
    <definedName name="\M" localSheetId="56">#REF!</definedName>
    <definedName name="\M">#REF!</definedName>
    <definedName name="\N" localSheetId="64">#REF!</definedName>
    <definedName name="\N" localSheetId="1">#REF!</definedName>
    <definedName name="\N" localSheetId="56">#REF!</definedName>
    <definedName name="\N">#REF!</definedName>
    <definedName name="\O" localSheetId="64">#REF!</definedName>
    <definedName name="\O" localSheetId="1">#REF!</definedName>
    <definedName name="\O" localSheetId="56">#REF!</definedName>
    <definedName name="\O">#REF!</definedName>
    <definedName name="\P" localSheetId="64">#REF!</definedName>
    <definedName name="\P" localSheetId="1">#REF!</definedName>
    <definedName name="\P" localSheetId="56">#REF!</definedName>
    <definedName name="\P">#REF!</definedName>
    <definedName name="\Q" localSheetId="64">#REF!</definedName>
    <definedName name="\Q" localSheetId="1">#REF!</definedName>
    <definedName name="\Q" localSheetId="56">#REF!</definedName>
    <definedName name="\Q">#REF!</definedName>
    <definedName name="\R" localSheetId="64">#REF!</definedName>
    <definedName name="\R" localSheetId="1">#REF!</definedName>
    <definedName name="\R" localSheetId="56">#REF!</definedName>
    <definedName name="\R">#REF!</definedName>
    <definedName name="\S" localSheetId="64">#REF!</definedName>
    <definedName name="\S" localSheetId="1">#REF!</definedName>
    <definedName name="\S" localSheetId="56">#REF!</definedName>
    <definedName name="\S">#REF!</definedName>
    <definedName name="\T" localSheetId="64">#REF!</definedName>
    <definedName name="\T" localSheetId="1">#REF!</definedName>
    <definedName name="\T" localSheetId="56">#REF!</definedName>
    <definedName name="\T">#REF!</definedName>
    <definedName name="\U" localSheetId="64">#REF!</definedName>
    <definedName name="\U" localSheetId="1">#REF!</definedName>
    <definedName name="\U" localSheetId="56">#REF!</definedName>
    <definedName name="\U">#REF!</definedName>
    <definedName name="\V" localSheetId="64">#REF!</definedName>
    <definedName name="\V" localSheetId="1">#REF!</definedName>
    <definedName name="\V" localSheetId="56">#REF!</definedName>
    <definedName name="\V">#REF!</definedName>
    <definedName name="\W" localSheetId="64">#REF!</definedName>
    <definedName name="\W" localSheetId="1">#REF!</definedName>
    <definedName name="\W" localSheetId="56">#REF!</definedName>
    <definedName name="\W">#REF!</definedName>
    <definedName name="\X" localSheetId="64">#REF!</definedName>
    <definedName name="\X" localSheetId="1">#REF!</definedName>
    <definedName name="\X" localSheetId="56">#REF!</definedName>
    <definedName name="\X">#REF!</definedName>
    <definedName name="\Y" localSheetId="64">#REF!</definedName>
    <definedName name="\Y" localSheetId="1">#REF!</definedName>
    <definedName name="\Y" localSheetId="56">#REF!</definedName>
    <definedName name="\Y">#REF!</definedName>
    <definedName name="\Z" localSheetId="64">#REF!</definedName>
    <definedName name="\Z" localSheetId="1">#REF!</definedName>
    <definedName name="\Z" localSheetId="56">#REF!</definedName>
    <definedName name="\Z">#REF!</definedName>
    <definedName name="_____BOP2" localSheetId="64">[1]BoP!#REF!</definedName>
    <definedName name="_____BOP2">[1]BoP!#REF!</definedName>
    <definedName name="_____dat1" localSheetId="64">'[2]work Q real'!#REF!</definedName>
    <definedName name="_____dat1">'[2]work Q real'!#REF!</definedName>
    <definedName name="_____EXP5" localSheetId="64">#REF!</definedName>
    <definedName name="_____EXP5">#REF!</definedName>
    <definedName name="_____EXP6" localSheetId="64">#REF!</definedName>
    <definedName name="_____EXP6">#REF!</definedName>
    <definedName name="_____EXP7" localSheetId="64">#REF!</definedName>
    <definedName name="_____EXP7">#REF!</definedName>
    <definedName name="_____EXP9" localSheetId="64">#REF!</definedName>
    <definedName name="_____EXP9">#REF!</definedName>
    <definedName name="_____IMP2" localSheetId="64">#REF!</definedName>
    <definedName name="_____IMP2">#REF!</definedName>
    <definedName name="_____IMP4" localSheetId="64">#REF!</definedName>
    <definedName name="_____IMP4">#REF!</definedName>
    <definedName name="_____IMP6" localSheetId="64">#REF!</definedName>
    <definedName name="_____IMP6">#REF!</definedName>
    <definedName name="_____IMP7" localSheetId="64">#REF!</definedName>
    <definedName name="_____IMP7">#REF!</definedName>
    <definedName name="_____MTS2" localSheetId="64">'[3]Annual Tables'!#REF!</definedName>
    <definedName name="_____MTS2">'[3]Annual Tables'!#REF!</definedName>
    <definedName name="_____PAG2" localSheetId="64">[3]Index!#REF!</definedName>
    <definedName name="_____PAG2">[3]Index!#REF!</definedName>
    <definedName name="_____PAG3" localSheetId="64">[3]Index!#REF!</definedName>
    <definedName name="_____PAG3">[3]Index!#REF!</definedName>
    <definedName name="_____PAG4" localSheetId="64">[3]Index!#REF!</definedName>
    <definedName name="_____PAG4">[3]Index!#REF!</definedName>
    <definedName name="_____PAG5" localSheetId="64">[3]Index!#REF!</definedName>
    <definedName name="_____PAG5">[3]Index!#REF!</definedName>
    <definedName name="_____PAG6" localSheetId="64">[3]Index!#REF!</definedName>
    <definedName name="_____PAG6">[3]Index!#REF!</definedName>
    <definedName name="_____RES2" localSheetId="64">[1]RES!#REF!</definedName>
    <definedName name="_____RES2">[1]RES!#REF!</definedName>
    <definedName name="_____TAB7" localSheetId="64">#REF!</definedName>
    <definedName name="_____TAB7">#REF!</definedName>
    <definedName name="____BOP1" localSheetId="64">#REF!</definedName>
    <definedName name="____BOP1">#REF!</definedName>
    <definedName name="____BOP2" localSheetId="64">[1]BoP!#REF!</definedName>
    <definedName name="____BOP2">[1]BoP!#REF!</definedName>
    <definedName name="____dat1" localSheetId="64">'[2]work Q real'!#REF!</definedName>
    <definedName name="____dat1">'[2]work Q real'!#REF!</definedName>
    <definedName name="____dat2" localSheetId="64">#REF!</definedName>
    <definedName name="____dat2">#REF!</definedName>
    <definedName name="____EXP5" localSheetId="64">#REF!</definedName>
    <definedName name="____EXP5">#REF!</definedName>
    <definedName name="____EXP6" localSheetId="64">#REF!</definedName>
    <definedName name="____EXP6">#REF!</definedName>
    <definedName name="____EXP7" localSheetId="64">#REF!</definedName>
    <definedName name="____EXP7">#REF!</definedName>
    <definedName name="____EXP9" localSheetId="64">#REF!</definedName>
    <definedName name="____EXP9">#REF!</definedName>
    <definedName name="____IMP10" localSheetId="64">#REF!</definedName>
    <definedName name="____IMP10">#REF!</definedName>
    <definedName name="____IMP2" localSheetId="64">#REF!</definedName>
    <definedName name="____IMP2">#REF!</definedName>
    <definedName name="____IMP4" localSheetId="64">#REF!</definedName>
    <definedName name="____IMP4">#REF!</definedName>
    <definedName name="____IMP6" localSheetId="64">#REF!</definedName>
    <definedName name="____IMP6">#REF!</definedName>
    <definedName name="____IMP7" localSheetId="64">#REF!</definedName>
    <definedName name="____IMP7">#REF!</definedName>
    <definedName name="____IMP8" localSheetId="64">#REF!</definedName>
    <definedName name="____IMP8">#REF!</definedName>
    <definedName name="____MTS2" localSheetId="64">'[3]Annual Tables'!#REF!</definedName>
    <definedName name="____MTS2">'[3]Annual Tables'!#REF!</definedName>
    <definedName name="____OUT1" localSheetId="64">#REF!</definedName>
    <definedName name="____OUT1">#REF!</definedName>
    <definedName name="____OUT2" localSheetId="64">#REF!</definedName>
    <definedName name="____OUT2">#REF!</definedName>
    <definedName name="____PAG2" localSheetId="64">[3]Index!#REF!</definedName>
    <definedName name="____PAG2">[3]Index!#REF!</definedName>
    <definedName name="____PAG3" localSheetId="64">[3]Index!#REF!</definedName>
    <definedName name="____PAG3">[3]Index!#REF!</definedName>
    <definedName name="____PAG4" localSheetId="64">[3]Index!#REF!</definedName>
    <definedName name="____PAG4">[3]Index!#REF!</definedName>
    <definedName name="____PAG5" localSheetId="64">[3]Index!#REF!</definedName>
    <definedName name="____PAG5">[3]Index!#REF!</definedName>
    <definedName name="____PAG6" localSheetId="64">[3]Index!#REF!</definedName>
    <definedName name="____PAG6">[3]Index!#REF!</definedName>
    <definedName name="____PAG7" localSheetId="64">#REF!</definedName>
    <definedName name="____PAG7">#REF!</definedName>
    <definedName name="____pro2001">[4]pro2001!$A$1:$B$72</definedName>
    <definedName name="____RES2" localSheetId="64">[1]RES!#REF!</definedName>
    <definedName name="____RES2">[1]RES!#REF!</definedName>
    <definedName name="____TAB1" localSheetId="64">#REF!</definedName>
    <definedName name="____TAB1">#REF!</definedName>
    <definedName name="____TAB10" localSheetId="64">#REF!</definedName>
    <definedName name="____TAB10">#REF!</definedName>
    <definedName name="____TAB12" localSheetId="64">#REF!</definedName>
    <definedName name="____TAB12">#REF!</definedName>
    <definedName name="____Tab19" localSheetId="64">#REF!</definedName>
    <definedName name="____Tab19">#REF!</definedName>
    <definedName name="____TAB2" localSheetId="64">#REF!</definedName>
    <definedName name="____TAB2">#REF!</definedName>
    <definedName name="____Tab20" localSheetId="64">#REF!</definedName>
    <definedName name="____Tab20">#REF!</definedName>
    <definedName name="____Tab21" localSheetId="64">#REF!</definedName>
    <definedName name="____Tab21">#REF!</definedName>
    <definedName name="____Tab22" localSheetId="64">#REF!</definedName>
    <definedName name="____Tab22">#REF!</definedName>
    <definedName name="____Tab23" localSheetId="64">#REF!</definedName>
    <definedName name="____Tab23">#REF!</definedName>
    <definedName name="____Tab24" localSheetId="64">#REF!</definedName>
    <definedName name="____Tab24">#REF!</definedName>
    <definedName name="____Tab26" localSheetId="64">#REF!</definedName>
    <definedName name="____Tab26">#REF!</definedName>
    <definedName name="____Tab27" localSheetId="64">#REF!</definedName>
    <definedName name="____Tab27">#REF!</definedName>
    <definedName name="____Tab28" localSheetId="64">#REF!</definedName>
    <definedName name="____Tab28">#REF!</definedName>
    <definedName name="____Tab29" localSheetId="64">#REF!</definedName>
    <definedName name="____Tab29">#REF!</definedName>
    <definedName name="____TAB3" localSheetId="64">#REF!</definedName>
    <definedName name="____TAB3">#REF!</definedName>
    <definedName name="____Tab30" localSheetId="64">#REF!</definedName>
    <definedName name="____Tab30">#REF!</definedName>
    <definedName name="____Tab31" localSheetId="64">#REF!</definedName>
    <definedName name="____Tab31">#REF!</definedName>
    <definedName name="____Tab32" localSheetId="64">#REF!</definedName>
    <definedName name="____Tab32">#REF!</definedName>
    <definedName name="____Tab33" localSheetId="64">#REF!</definedName>
    <definedName name="____Tab33">#REF!</definedName>
    <definedName name="____Tab34" localSheetId="64">#REF!</definedName>
    <definedName name="____Tab34">#REF!</definedName>
    <definedName name="____Tab35" localSheetId="64">#REF!</definedName>
    <definedName name="____Tab35">#REF!</definedName>
    <definedName name="____TAB4" localSheetId="64">#REF!</definedName>
    <definedName name="____TAB4">#REF!</definedName>
    <definedName name="____TAB5" localSheetId="64">#REF!</definedName>
    <definedName name="____TAB5">#REF!</definedName>
    <definedName name="____tab6" localSheetId="64">#REF!</definedName>
    <definedName name="____tab6">#REF!</definedName>
    <definedName name="____TAB7" localSheetId="64">#REF!</definedName>
    <definedName name="____TAB7">#REF!</definedName>
    <definedName name="____TAB8" localSheetId="64">#REF!</definedName>
    <definedName name="____TAB8">#REF!</definedName>
    <definedName name="____tab9" localSheetId="64">#REF!</definedName>
    <definedName name="____tab9">#REF!</definedName>
    <definedName name="____TB41" localSheetId="64">#REF!</definedName>
    <definedName name="____TB41">#REF!</definedName>
    <definedName name="____WEO1" localSheetId="64">#REF!</definedName>
    <definedName name="____WEO1">#REF!</definedName>
    <definedName name="____WEO2" localSheetId="64">#REF!</definedName>
    <definedName name="____WEO2">#REF!</definedName>
    <definedName name="___BOP1" localSheetId="64">#REF!</definedName>
    <definedName name="___BOP1">#REF!</definedName>
    <definedName name="___BOP2" localSheetId="64">[1]BoP!#REF!</definedName>
    <definedName name="___BOP2">[1]BoP!#REF!</definedName>
    <definedName name="___dat1" localSheetId="64">'[2]work Q real'!#REF!</definedName>
    <definedName name="___dat1">'[2]work Q real'!#REF!</definedName>
    <definedName name="___dat2" localSheetId="64">#REF!</definedName>
    <definedName name="___dat2">#REF!</definedName>
    <definedName name="___EXP5" localSheetId="64">#REF!</definedName>
    <definedName name="___EXP5">#REF!</definedName>
    <definedName name="___EXP6" localSheetId="64">#REF!</definedName>
    <definedName name="___EXP6">#REF!</definedName>
    <definedName name="___EXP7" localSheetId="64">#REF!</definedName>
    <definedName name="___EXP7">#REF!</definedName>
    <definedName name="___EXP9" localSheetId="64">#REF!</definedName>
    <definedName name="___EXP9">#REF!</definedName>
    <definedName name="___IMP10" localSheetId="64">#REF!</definedName>
    <definedName name="___IMP10">#REF!</definedName>
    <definedName name="___IMP2" localSheetId="64">#REF!</definedName>
    <definedName name="___IMP2">#REF!</definedName>
    <definedName name="___IMP4" localSheetId="64">#REF!</definedName>
    <definedName name="___IMP4">#REF!</definedName>
    <definedName name="___IMP6" localSheetId="64">#REF!</definedName>
    <definedName name="___IMP6">#REF!</definedName>
    <definedName name="___IMP7" localSheetId="64">#REF!</definedName>
    <definedName name="___IMP7">#REF!</definedName>
    <definedName name="___IMP8" localSheetId="64">#REF!</definedName>
    <definedName name="___IMP8">#REF!</definedName>
    <definedName name="___MTS2" localSheetId="64">'[3]Annual Tables'!#REF!</definedName>
    <definedName name="___MTS2">'[3]Annual Tables'!#REF!</definedName>
    <definedName name="___OUT1" localSheetId="64">#REF!</definedName>
    <definedName name="___OUT1">#REF!</definedName>
    <definedName name="___OUT2" localSheetId="64">#REF!</definedName>
    <definedName name="___OUT2">#REF!</definedName>
    <definedName name="___PAG2" localSheetId="64">[3]Index!#REF!</definedName>
    <definedName name="___PAG2">[3]Index!#REF!</definedName>
    <definedName name="___PAG3" localSheetId="64">[3]Index!#REF!</definedName>
    <definedName name="___PAG3">[3]Index!#REF!</definedName>
    <definedName name="___PAG4" localSheetId="64">[3]Index!#REF!</definedName>
    <definedName name="___PAG4">[3]Index!#REF!</definedName>
    <definedName name="___PAG5" localSheetId="64">[3]Index!#REF!</definedName>
    <definedName name="___PAG5">[3]Index!#REF!</definedName>
    <definedName name="___PAG6" localSheetId="64">[3]Index!#REF!</definedName>
    <definedName name="___PAG6">[3]Index!#REF!</definedName>
    <definedName name="___PAG7" localSheetId="64">#REF!</definedName>
    <definedName name="___PAG7">#REF!</definedName>
    <definedName name="___pro2001">[4]pro2001!$A$1:$B$72</definedName>
    <definedName name="___RES2" localSheetId="64">[1]RES!#REF!</definedName>
    <definedName name="___RES2">[1]RES!#REF!</definedName>
    <definedName name="___TAB1" localSheetId="64">#REF!</definedName>
    <definedName name="___TAB1">#REF!</definedName>
    <definedName name="___TAB10" localSheetId="64">#REF!</definedName>
    <definedName name="___TAB10">#REF!</definedName>
    <definedName name="___TAB12" localSheetId="64">#REF!</definedName>
    <definedName name="___TAB12">#REF!</definedName>
    <definedName name="___Tab19" localSheetId="64">#REF!</definedName>
    <definedName name="___Tab19">#REF!</definedName>
    <definedName name="___TAB2" localSheetId="64">#REF!</definedName>
    <definedName name="___TAB2">#REF!</definedName>
    <definedName name="___Tab20" localSheetId="64">#REF!</definedName>
    <definedName name="___Tab20">#REF!</definedName>
    <definedName name="___Tab21" localSheetId="64">#REF!</definedName>
    <definedName name="___Tab21">#REF!</definedName>
    <definedName name="___Tab22" localSheetId="64">#REF!</definedName>
    <definedName name="___Tab22">#REF!</definedName>
    <definedName name="___Tab23" localSheetId="64">#REF!</definedName>
    <definedName name="___Tab23">#REF!</definedName>
    <definedName name="___Tab24" localSheetId="64">#REF!</definedName>
    <definedName name="___Tab24">#REF!</definedName>
    <definedName name="___Tab26" localSheetId="64">#REF!</definedName>
    <definedName name="___Tab26">#REF!</definedName>
    <definedName name="___Tab27" localSheetId="64">#REF!</definedName>
    <definedName name="___Tab27">#REF!</definedName>
    <definedName name="___Tab28" localSheetId="64">#REF!</definedName>
    <definedName name="___Tab28">#REF!</definedName>
    <definedName name="___Tab29" localSheetId="64">#REF!</definedName>
    <definedName name="___Tab29">#REF!</definedName>
    <definedName name="___TAB3" localSheetId="64">#REF!</definedName>
    <definedName name="___TAB3">#REF!</definedName>
    <definedName name="___Tab30" localSheetId="64">#REF!</definedName>
    <definedName name="___Tab30">#REF!</definedName>
    <definedName name="___Tab31" localSheetId="64">#REF!</definedName>
    <definedName name="___Tab31">#REF!</definedName>
    <definedName name="___Tab32" localSheetId="64">#REF!</definedName>
    <definedName name="___Tab32">#REF!</definedName>
    <definedName name="___Tab33" localSheetId="64">#REF!</definedName>
    <definedName name="___Tab33">#REF!</definedName>
    <definedName name="___Tab34" localSheetId="64">#REF!</definedName>
    <definedName name="___Tab34">#REF!</definedName>
    <definedName name="___Tab35" localSheetId="64">#REF!</definedName>
    <definedName name="___Tab35">#REF!</definedName>
    <definedName name="___TAB4" localSheetId="64">#REF!</definedName>
    <definedName name="___TAB4">#REF!</definedName>
    <definedName name="___TAB5" localSheetId="64">#REF!</definedName>
    <definedName name="___TAB5">#REF!</definedName>
    <definedName name="___tab6" localSheetId="64">#REF!</definedName>
    <definedName name="___tab6">#REF!</definedName>
    <definedName name="___TAB7" localSheetId="64">#REF!</definedName>
    <definedName name="___TAB7">#REF!</definedName>
    <definedName name="___TAB8" localSheetId="64">#REF!</definedName>
    <definedName name="___TAB8">#REF!</definedName>
    <definedName name="___tab9" localSheetId="64">#REF!</definedName>
    <definedName name="___tab9">#REF!</definedName>
    <definedName name="___TB41" localSheetId="64">#REF!</definedName>
    <definedName name="___TB41">#REF!</definedName>
    <definedName name="___WEO1" localSheetId="64">#REF!</definedName>
    <definedName name="___WEO1">#REF!</definedName>
    <definedName name="___WEO2" localSheetId="64">#REF!</definedName>
    <definedName name="___WEO2">#REF!</definedName>
    <definedName name="__123Graph_A" localSheetId="64" hidden="1">#REF!</definedName>
    <definedName name="__123Graph_A" localSheetId="1" hidden="1">#REF!</definedName>
    <definedName name="__123Graph_A" localSheetId="55" hidden="1">#REF!</definedName>
    <definedName name="__123Graph_A" localSheetId="56" hidden="1">#REF!</definedName>
    <definedName name="__123Graph_A" hidden="1">#REF!</definedName>
    <definedName name="__123Graph_AEXP" localSheetId="64" hidden="1">#REF!</definedName>
    <definedName name="__123Graph_AEXP" hidden="1">#REF!</definedName>
    <definedName name="__123Graph_ATEST1" localSheetId="64" hidden="1">[5]REER!$AZ$144:$AZ$210</definedName>
    <definedName name="__123Graph_ATEST1" localSheetId="56" hidden="1">[6]REER!$AZ$144:$AZ$210</definedName>
    <definedName name="__123Graph_ATEST1" hidden="1">[7]REER!$AZ$144:$AZ$210</definedName>
    <definedName name="__123Graph_B" localSheetId="64" hidden="1">#REF!</definedName>
    <definedName name="__123Graph_B" localSheetId="1" hidden="1">#REF!</definedName>
    <definedName name="__123Graph_B" localSheetId="55" hidden="1">#REF!</definedName>
    <definedName name="__123Graph_B" localSheetId="56" hidden="1">#REF!</definedName>
    <definedName name="__123Graph_B" hidden="1">#REF!</definedName>
    <definedName name="__123Graph_BCurrent" localSheetId="64" hidden="1">[8]G!#REF!</definedName>
    <definedName name="__123Graph_BCurrent" localSheetId="1" hidden="1">[8]G!#REF!</definedName>
    <definedName name="__123Graph_BCurrent" localSheetId="55" hidden="1">[8]G!#REF!</definedName>
    <definedName name="__123Graph_BCurrent" localSheetId="56" hidden="1">[8]G!#REF!</definedName>
    <definedName name="__123Graph_BCurrent" hidden="1">[8]G!#REF!</definedName>
    <definedName name="__123Graph_BGDP" localSheetId="64" hidden="1">'[9]Quarterly Program'!#REF!</definedName>
    <definedName name="__123Graph_BGDP" hidden="1">'[9]Quarterly Program'!#REF!</definedName>
    <definedName name="__123Graph_BMONEY" localSheetId="64" hidden="1">'[9]Quarterly Program'!#REF!</definedName>
    <definedName name="__123Graph_BMONEY" hidden="1">'[9]Quarterly Program'!#REF!</definedName>
    <definedName name="__123Graph_BREER3" localSheetId="64" hidden="1">[5]REER!$BB$144:$BB$212</definedName>
    <definedName name="__123Graph_BREER3" localSheetId="56" hidden="1">[6]REER!$BB$144:$BB$212</definedName>
    <definedName name="__123Graph_BREER3" hidden="1">[7]REER!$BB$144:$BB$212</definedName>
    <definedName name="__123Graph_BTEST1" localSheetId="64" hidden="1">[5]REER!$AY$144:$AY$210</definedName>
    <definedName name="__123Graph_BTEST1" localSheetId="56" hidden="1">[6]REER!$AY$144:$AY$210</definedName>
    <definedName name="__123Graph_BTEST1" hidden="1">[7]REER!$AY$144:$AY$210</definedName>
    <definedName name="__123Graph_CREER3" localSheetId="64" hidden="1">[5]REER!$BB$144:$BB$212</definedName>
    <definedName name="__123Graph_CREER3" localSheetId="56" hidden="1">[6]REER!$BB$144:$BB$212</definedName>
    <definedName name="__123Graph_CREER3" hidden="1">[7]REER!$BB$144:$BB$212</definedName>
    <definedName name="__123Graph_CTEST1" localSheetId="64" hidden="1">[5]REER!$BK$140:$BK$140</definedName>
    <definedName name="__123Graph_CTEST1" localSheetId="56" hidden="1">[6]REER!$BK$140:$BK$140</definedName>
    <definedName name="__123Graph_CTEST1" hidden="1">[7]REER!$BK$140:$BK$140</definedName>
    <definedName name="__123Graph_DREER3" localSheetId="64" hidden="1">[5]REER!$BB$144:$BB$210</definedName>
    <definedName name="__123Graph_DREER3" localSheetId="56" hidden="1">[6]REER!$BB$144:$BB$210</definedName>
    <definedName name="__123Graph_DREER3" hidden="1">[7]REER!$BB$144:$BB$210</definedName>
    <definedName name="__123Graph_DTEST1" localSheetId="64" hidden="1">[5]REER!$BB$144:$BB$210</definedName>
    <definedName name="__123Graph_DTEST1" localSheetId="56" hidden="1">[6]REER!$BB$144:$BB$210</definedName>
    <definedName name="__123Graph_DTEST1" hidden="1">[7]REER!$BB$144:$BB$210</definedName>
    <definedName name="__123Graph_EREER3" localSheetId="64" hidden="1">[5]REER!$BR$144:$BR$211</definedName>
    <definedName name="__123Graph_EREER3" localSheetId="56" hidden="1">[6]REER!$BR$144:$BR$211</definedName>
    <definedName name="__123Graph_EREER3" hidden="1">[7]REER!$BR$144:$BR$211</definedName>
    <definedName name="__123Graph_ETEST1" localSheetId="64" hidden="1">[5]REER!$BR$144:$BR$211</definedName>
    <definedName name="__123Graph_ETEST1" localSheetId="56" hidden="1">[6]REER!$BR$144:$BR$211</definedName>
    <definedName name="__123Graph_ETEST1" hidden="1">[7]REER!$BR$144:$BR$211</definedName>
    <definedName name="__123Graph_FREER3" localSheetId="64" hidden="1">[5]REER!$BN$140:$BN$140</definedName>
    <definedName name="__123Graph_FREER3" localSheetId="56" hidden="1">[6]REER!$BN$140:$BN$140</definedName>
    <definedName name="__123Graph_FREER3" hidden="1">[7]REER!$BN$140:$BN$140</definedName>
    <definedName name="__123Graph_FTEST1" localSheetId="64" hidden="1">[5]REER!$BN$140:$BN$140</definedName>
    <definedName name="__123Graph_FTEST1" localSheetId="56" hidden="1">[6]REER!$BN$140:$BN$140</definedName>
    <definedName name="__123Graph_FTEST1" hidden="1">[7]REER!$BN$140:$BN$140</definedName>
    <definedName name="__123Graph_X" localSheetId="64" hidden="1">'[10]i2-KA'!#REF!</definedName>
    <definedName name="__123Graph_X" localSheetId="1" hidden="1">'[10]i2-KA'!#REF!</definedName>
    <definedName name="__123Graph_X" localSheetId="55" hidden="1">'[10]i2-KA'!#REF!</definedName>
    <definedName name="__123Graph_X" localSheetId="56" hidden="1">'[10]i2-KA'!#REF!</definedName>
    <definedName name="__123Graph_X" hidden="1">'[10]i2-KA'!#REF!</definedName>
    <definedName name="__123Graph_XCurrent" localSheetId="64" hidden="1">'[10]i2-KA'!#REF!</definedName>
    <definedName name="__123Graph_XCurrent" localSheetId="1" hidden="1">'[10]i2-KA'!#REF!</definedName>
    <definedName name="__123Graph_XCurrent" localSheetId="55" hidden="1">'[10]i2-KA'!#REF!</definedName>
    <definedName name="__123Graph_XCurrent" localSheetId="56" hidden="1">'[10]i2-KA'!#REF!</definedName>
    <definedName name="__123Graph_XCurrent" hidden="1">'[10]i2-KA'!#REF!</definedName>
    <definedName name="__123Graph_XEXP" localSheetId="64" hidden="1">[11]EdssGeeGAS!#REF!</definedName>
    <definedName name="__123Graph_XEXP" hidden="1">[11]EdssGeeGAS!#REF!</definedName>
    <definedName name="__123Graph_XChart1" localSheetId="64" hidden="1">'[10]i2-KA'!#REF!</definedName>
    <definedName name="__123Graph_XChart1" localSheetId="1" hidden="1">'[10]i2-KA'!#REF!</definedName>
    <definedName name="__123Graph_XChart1" localSheetId="55" hidden="1">'[10]i2-KA'!#REF!</definedName>
    <definedName name="__123Graph_XChart1" localSheetId="56" hidden="1">'[10]i2-KA'!#REF!</definedName>
    <definedName name="__123Graph_XChart1" hidden="1">'[10]i2-KA'!#REF!</definedName>
    <definedName name="__123Graph_XChart2" localSheetId="64" hidden="1">'[10]i2-KA'!#REF!</definedName>
    <definedName name="__123Graph_XChart2" localSheetId="1" hidden="1">'[10]i2-KA'!#REF!</definedName>
    <definedName name="__123Graph_XChart2" localSheetId="55" hidden="1">'[10]i2-KA'!#REF!</definedName>
    <definedName name="__123Graph_XChart2" localSheetId="56" hidden="1">'[10]i2-KA'!#REF!</definedName>
    <definedName name="__123Graph_XChart2" hidden="1">'[10]i2-KA'!#REF!</definedName>
    <definedName name="__123Graph_XTEST1" localSheetId="64" hidden="1">[5]REER!$C$9:$C$75</definedName>
    <definedName name="__123Graph_XTEST1" localSheetId="56" hidden="1">[6]REER!$C$9:$C$75</definedName>
    <definedName name="__123Graph_XTEST1" hidden="1">[7]REER!$C$9:$C$75</definedName>
    <definedName name="__BOP1" localSheetId="64">#REF!</definedName>
    <definedName name="__BOP1" localSheetId="1">#REF!</definedName>
    <definedName name="__BOP1">#REF!</definedName>
    <definedName name="__BOP2" localSheetId="64">[1]BoP!#REF!</definedName>
    <definedName name="__BOP2" localSheetId="1">[1]BoP!#REF!</definedName>
    <definedName name="__BOP2" localSheetId="56">[1]BoP!#REF!</definedName>
    <definedName name="__BOP2">[1]BoP!#REF!</definedName>
    <definedName name="__dat1" localSheetId="64">'[2]work Q real'!#REF!</definedName>
    <definedName name="__dat1" localSheetId="1">'[2]work Q real'!#REF!</definedName>
    <definedName name="__dat1" localSheetId="56">'[2]work Q real'!#REF!</definedName>
    <definedName name="__dat1">'[2]work Q real'!#REF!</definedName>
    <definedName name="__dat2" localSheetId="64">#REF!</definedName>
    <definedName name="__dat2" localSheetId="1">#REF!</definedName>
    <definedName name="__dat2">#REF!</definedName>
    <definedName name="__EXP5" localSheetId="64">#REF!</definedName>
    <definedName name="__EXP5" localSheetId="1">#REF!</definedName>
    <definedName name="__EXP5" localSheetId="56">#REF!</definedName>
    <definedName name="__EXP5">#REF!</definedName>
    <definedName name="__EXP6" localSheetId="64">#REF!</definedName>
    <definedName name="__EXP6" localSheetId="1">#REF!</definedName>
    <definedName name="__EXP6" localSheetId="56">#REF!</definedName>
    <definedName name="__EXP6">#REF!</definedName>
    <definedName name="__EXP7" localSheetId="64">#REF!</definedName>
    <definedName name="__EXP7" localSheetId="1">#REF!</definedName>
    <definedName name="__EXP7" localSheetId="56">#REF!</definedName>
    <definedName name="__EXP7">#REF!</definedName>
    <definedName name="__EXP9" localSheetId="64">#REF!</definedName>
    <definedName name="__EXP9" localSheetId="1">#REF!</definedName>
    <definedName name="__EXP9" localSheetId="56">#REF!</definedName>
    <definedName name="__EXP9">#REF!</definedName>
    <definedName name="__IMP10" localSheetId="64">#REF!</definedName>
    <definedName name="__IMP10" localSheetId="1">#REF!</definedName>
    <definedName name="__IMP10">#REF!</definedName>
    <definedName name="__IMP2" localSheetId="64">#REF!</definedName>
    <definedName name="__IMP2" localSheetId="1">#REF!</definedName>
    <definedName name="__IMP2" localSheetId="56">#REF!</definedName>
    <definedName name="__IMP2">#REF!</definedName>
    <definedName name="__IMP4" localSheetId="64">#REF!</definedName>
    <definedName name="__IMP4" localSheetId="1">#REF!</definedName>
    <definedName name="__IMP4" localSheetId="56">#REF!</definedName>
    <definedName name="__IMP4">#REF!</definedName>
    <definedName name="__IMP6" localSheetId="64">#REF!</definedName>
    <definedName name="__IMP6" localSheetId="1">#REF!</definedName>
    <definedName name="__IMP6" localSheetId="56">#REF!</definedName>
    <definedName name="__IMP6">#REF!</definedName>
    <definedName name="__IMP7" localSheetId="64">#REF!</definedName>
    <definedName name="__IMP7" localSheetId="1">#REF!</definedName>
    <definedName name="__IMP7" localSheetId="56">#REF!</definedName>
    <definedName name="__IMP7">#REF!</definedName>
    <definedName name="__IMP8" localSheetId="64">#REF!</definedName>
    <definedName name="__IMP8" localSheetId="1">#REF!</definedName>
    <definedName name="__IMP8">#REF!</definedName>
    <definedName name="__MTS2" localSheetId="64">'[3]Annual Tables'!#REF!</definedName>
    <definedName name="__MTS2" localSheetId="1">'[3]Annual Tables'!#REF!</definedName>
    <definedName name="__MTS2" localSheetId="56">'[3]Annual Tables'!#REF!</definedName>
    <definedName name="__MTS2">'[3]Annual Tables'!#REF!</definedName>
    <definedName name="__OUT1" localSheetId="64">#REF!</definedName>
    <definedName name="__OUT1" localSheetId="1">#REF!</definedName>
    <definedName name="__OUT1">#REF!</definedName>
    <definedName name="__OUT2" localSheetId="64">#REF!</definedName>
    <definedName name="__OUT2" localSheetId="1">#REF!</definedName>
    <definedName name="__OUT2">#REF!</definedName>
    <definedName name="__PAG2" localSheetId="64">[3]Index!#REF!</definedName>
    <definedName name="__PAG2" localSheetId="1">[3]Index!#REF!</definedName>
    <definedName name="__PAG2" localSheetId="56">[3]Index!#REF!</definedName>
    <definedName name="__PAG2">[3]Index!#REF!</definedName>
    <definedName name="__PAG3" localSheetId="64">[3]Index!#REF!</definedName>
    <definedName name="__PAG3" localSheetId="1">[3]Index!#REF!</definedName>
    <definedName name="__PAG3" localSheetId="56">[3]Index!#REF!</definedName>
    <definedName name="__PAG3">[3]Index!#REF!</definedName>
    <definedName name="__PAG4" localSheetId="64">[3]Index!#REF!</definedName>
    <definedName name="__PAG4" localSheetId="1">[3]Index!#REF!</definedName>
    <definedName name="__PAG4" localSheetId="56">[3]Index!#REF!</definedName>
    <definedName name="__PAG4">[3]Index!#REF!</definedName>
    <definedName name="__PAG5" localSheetId="64">[3]Index!#REF!</definedName>
    <definedName name="__PAG5" localSheetId="1">[3]Index!#REF!</definedName>
    <definedName name="__PAG5" localSheetId="56">[3]Index!#REF!</definedName>
    <definedName name="__PAG5">[3]Index!#REF!</definedName>
    <definedName name="__PAG6" localSheetId="64">[3]Index!#REF!</definedName>
    <definedName name="__PAG6" localSheetId="1">[3]Index!#REF!</definedName>
    <definedName name="__PAG6" localSheetId="56">[3]Index!#REF!</definedName>
    <definedName name="__PAG6">[3]Index!#REF!</definedName>
    <definedName name="__PAG7" localSheetId="64">#REF!</definedName>
    <definedName name="__PAG7" localSheetId="1">#REF!</definedName>
    <definedName name="__PAG7">#REF!</definedName>
    <definedName name="__pro2001" localSheetId="64">[4]pro2001!$A$1:$B$72</definedName>
    <definedName name="__pro2001">[12]pro2001!$A$1:$B$72</definedName>
    <definedName name="__RES2" localSheetId="64">[1]RES!#REF!</definedName>
    <definedName name="__RES2" localSheetId="1">[1]RES!#REF!</definedName>
    <definedName name="__RES2" localSheetId="56">[1]RES!#REF!</definedName>
    <definedName name="__RES2">[1]RES!#REF!</definedName>
    <definedName name="__TAB1" localSheetId="64">#REF!</definedName>
    <definedName name="__TAB1" localSheetId="1">#REF!</definedName>
    <definedName name="__TAB1">#REF!</definedName>
    <definedName name="__TAB10" localSheetId="64">#REF!</definedName>
    <definedName name="__TAB10" localSheetId="1">#REF!</definedName>
    <definedName name="__TAB10">#REF!</definedName>
    <definedName name="__TAB12" localSheetId="64">#REF!</definedName>
    <definedName name="__TAB12" localSheetId="1">#REF!</definedName>
    <definedName name="__TAB12">#REF!</definedName>
    <definedName name="__Tab19" localSheetId="64">#REF!</definedName>
    <definedName name="__Tab19" localSheetId="1">#REF!</definedName>
    <definedName name="__Tab19">#REF!</definedName>
    <definedName name="__TAB2" localSheetId="64">#REF!</definedName>
    <definedName name="__TAB2" localSheetId="1">#REF!</definedName>
    <definedName name="__TAB2">#REF!</definedName>
    <definedName name="__Tab20" localSheetId="64">#REF!</definedName>
    <definedName name="__Tab20" localSheetId="1">#REF!</definedName>
    <definedName name="__Tab20">#REF!</definedName>
    <definedName name="__Tab21" localSheetId="64">#REF!</definedName>
    <definedName name="__Tab21" localSheetId="1">#REF!</definedName>
    <definedName name="__Tab21">#REF!</definedName>
    <definedName name="__Tab22" localSheetId="64">#REF!</definedName>
    <definedName name="__Tab22" localSheetId="1">#REF!</definedName>
    <definedName name="__Tab22">#REF!</definedName>
    <definedName name="__Tab23" localSheetId="64">#REF!</definedName>
    <definedName name="__Tab23" localSheetId="1">#REF!</definedName>
    <definedName name="__Tab23">#REF!</definedName>
    <definedName name="__Tab24" localSheetId="64">#REF!</definedName>
    <definedName name="__Tab24" localSheetId="1">#REF!</definedName>
    <definedName name="__Tab24">#REF!</definedName>
    <definedName name="__Tab26" localSheetId="64">#REF!</definedName>
    <definedName name="__Tab26" localSheetId="1">#REF!</definedName>
    <definedName name="__Tab26">#REF!</definedName>
    <definedName name="__Tab27" localSheetId="64">#REF!</definedName>
    <definedName name="__Tab27" localSheetId="1">#REF!</definedName>
    <definedName name="__Tab27">#REF!</definedName>
    <definedName name="__Tab28" localSheetId="64">#REF!</definedName>
    <definedName name="__Tab28" localSheetId="1">#REF!</definedName>
    <definedName name="__Tab28">#REF!</definedName>
    <definedName name="__Tab29" localSheetId="64">#REF!</definedName>
    <definedName name="__Tab29" localSheetId="1">#REF!</definedName>
    <definedName name="__Tab29">#REF!</definedName>
    <definedName name="__TAB3" localSheetId="64">#REF!</definedName>
    <definedName name="__TAB3" localSheetId="1">#REF!</definedName>
    <definedName name="__TAB3">#REF!</definedName>
    <definedName name="__Tab30" localSheetId="64">#REF!</definedName>
    <definedName name="__Tab30" localSheetId="1">#REF!</definedName>
    <definedName name="__Tab30">#REF!</definedName>
    <definedName name="__Tab31" localSheetId="64">#REF!</definedName>
    <definedName name="__Tab31" localSheetId="1">#REF!</definedName>
    <definedName name="__Tab31">#REF!</definedName>
    <definedName name="__Tab32" localSheetId="64">#REF!</definedName>
    <definedName name="__Tab32" localSheetId="1">#REF!</definedName>
    <definedName name="__Tab32">#REF!</definedName>
    <definedName name="__Tab33" localSheetId="64">#REF!</definedName>
    <definedName name="__Tab33" localSheetId="1">#REF!</definedName>
    <definedName name="__Tab33">#REF!</definedName>
    <definedName name="__Tab34" localSheetId="64">#REF!</definedName>
    <definedName name="__Tab34" localSheetId="1">#REF!</definedName>
    <definedName name="__Tab34">#REF!</definedName>
    <definedName name="__Tab35" localSheetId="64">#REF!</definedName>
    <definedName name="__Tab35" localSheetId="1">#REF!</definedName>
    <definedName name="__Tab35">#REF!</definedName>
    <definedName name="__TAB4" localSheetId="64">#REF!</definedName>
    <definedName name="__TAB4" localSheetId="1">#REF!</definedName>
    <definedName name="__TAB4">#REF!</definedName>
    <definedName name="__TAB5" localSheetId="64">#REF!</definedName>
    <definedName name="__TAB5" localSheetId="1">#REF!</definedName>
    <definedName name="__TAB5">#REF!</definedName>
    <definedName name="__tab6" localSheetId="64">#REF!</definedName>
    <definedName name="__tab6" localSheetId="1">#REF!</definedName>
    <definedName name="__tab6">#REF!</definedName>
    <definedName name="__TAB7" localSheetId="64">#REF!</definedName>
    <definedName name="__TAB7" localSheetId="1">#REF!</definedName>
    <definedName name="__TAB7" localSheetId="56">#REF!</definedName>
    <definedName name="__TAB7">#REF!</definedName>
    <definedName name="__TAB8" localSheetId="64">#REF!</definedName>
    <definedName name="__TAB8" localSheetId="1">#REF!</definedName>
    <definedName name="__TAB8">#REF!</definedName>
    <definedName name="__tab9" localSheetId="64">#REF!</definedName>
    <definedName name="__tab9" localSheetId="1">#REF!</definedName>
    <definedName name="__tab9">#REF!</definedName>
    <definedName name="__TB41" localSheetId="64">#REF!</definedName>
    <definedName name="__TB41" localSheetId="1">#REF!</definedName>
    <definedName name="__TB41">#REF!</definedName>
    <definedName name="__WEO1" localSheetId="64">#REF!</definedName>
    <definedName name="__WEO1" localSheetId="1">#REF!</definedName>
    <definedName name="__WEO1">#REF!</definedName>
    <definedName name="__WEO2" localSheetId="64">#REF!</definedName>
    <definedName name="__WEO2" localSheetId="1">#REF!</definedName>
    <definedName name="__WEO2">#REF!</definedName>
    <definedName name="_1_123Graph_A" localSheetId="64" hidden="1">#REF!</definedName>
    <definedName name="_1_123Graph_A" hidden="1">#REF!</definedName>
    <definedName name="_10__123Graph_ACHART_2" localSheetId="64" hidden="1">'[13]Employment Data Sectors (wages)'!$A$8173:$A$8184</definedName>
    <definedName name="_10__123Graph_ACHART_2" hidden="1">'[14]Employment Data Sectors (wages)'!$A$8173:$A$8184</definedName>
    <definedName name="_10__123Graph_ACHART_8" hidden="1">'[15]Employment Data Sectors (wages)'!$W$8175:$W$8186</definedName>
    <definedName name="_10__123Graph_BCHART_1" hidden="1">'[16]Employment Data Sectors (wages)'!$B$8173:$B$8184</definedName>
    <definedName name="_100__123Graph_BCHART_8" localSheetId="56" hidden="1">'[17]Employment Data Sectors (wages)'!$W$13:$W$8187</definedName>
    <definedName name="_100__123Graph_BCHART_8" hidden="1">'[13]Employment Data Sectors (wages)'!$W$13:$W$8187</definedName>
    <definedName name="_102__123Graph_CCHART_1" localSheetId="56" hidden="1">'[18]Employment Data Sectors (wages)'!$C$8173:$C$8184</definedName>
    <definedName name="_105__123Graph_CCHART_1" localSheetId="56" hidden="1">'[17]Employment Data Sectors (wages)'!$C$8173:$C$8184</definedName>
    <definedName name="_105__123Graph_CCHART_1" hidden="1">'[13]Employment Data Sectors (wages)'!$C$8173:$C$8184</definedName>
    <definedName name="_107__123Graph_CCHART_2" localSheetId="56" hidden="1">'[18]Employment Data Sectors (wages)'!$C$8173:$C$8184</definedName>
    <definedName name="_11__123Graph_BCHART_1" hidden="1">'[15]Employment Data Sectors (wages)'!$B$8173:$B$8184</definedName>
    <definedName name="_11__123Graph_BCHART_2" hidden="1">'[16]Employment Data Sectors (wages)'!$B$8173:$B$8184</definedName>
    <definedName name="_110__123Graph_CCHART_2" localSheetId="56" hidden="1">'[17]Employment Data Sectors (wages)'!$C$8173:$C$8184</definedName>
    <definedName name="_110__123Graph_CCHART_2" hidden="1">'[13]Employment Data Sectors (wages)'!$C$8173:$C$8184</definedName>
    <definedName name="_112__123Graph_CCHART_3" localSheetId="56" hidden="1">'[18]Employment Data Sectors (wages)'!$C$11:$C$8185</definedName>
    <definedName name="_115__123Graph_CCHART_3" localSheetId="56" hidden="1">'[17]Employment Data Sectors (wages)'!$C$11:$C$8185</definedName>
    <definedName name="_115__123Graph_CCHART_3" hidden="1">'[13]Employment Data Sectors (wages)'!$C$11:$C$8185</definedName>
    <definedName name="_117__123Graph_CCHART_4" localSheetId="56" hidden="1">'[18]Employment Data Sectors (wages)'!$C$12:$C$23</definedName>
    <definedName name="_12__123Graph_ACHART_3" localSheetId="64" hidden="1">'[13]Employment Data Sectors (wages)'!$A$11:$A$8185</definedName>
    <definedName name="_12__123Graph_ACHART_3" hidden="1">'[14]Employment Data Sectors (wages)'!$A$11:$A$8185</definedName>
    <definedName name="_12__123Graph_BCHART_2" hidden="1">'[15]Employment Data Sectors (wages)'!$B$8173:$B$8184</definedName>
    <definedName name="_12__123Graph_BCHART_3" hidden="1">'[16]Employment Data Sectors (wages)'!$B$11:$B$8185</definedName>
    <definedName name="_120__123Graph_CCHART_4" localSheetId="56" hidden="1">'[17]Employment Data Sectors (wages)'!$C$12:$C$23</definedName>
    <definedName name="_120__123Graph_CCHART_4" hidden="1">'[13]Employment Data Sectors (wages)'!$C$12:$C$23</definedName>
    <definedName name="_122__123Graph_CCHART_5" localSheetId="56" hidden="1">'[18]Employment Data Sectors (wages)'!$C$24:$C$35</definedName>
    <definedName name="_123Graph_AB" localSheetId="64" hidden="1">#REF!</definedName>
    <definedName name="_123Graph_AB" localSheetId="1" hidden="1">#REF!</definedName>
    <definedName name="_123Graph_AB" localSheetId="55" hidden="1">#REF!</definedName>
    <definedName name="_123Graph_AB" localSheetId="56" hidden="1">#REF!</definedName>
    <definedName name="_123Graph_AB" hidden="1">#REF!</definedName>
    <definedName name="_123Graph_B" localSheetId="64" hidden="1">#REF!</definedName>
    <definedName name="_123Graph_B" localSheetId="1" hidden="1">#REF!</definedName>
    <definedName name="_123Graph_B" localSheetId="55" hidden="1">#REF!</definedName>
    <definedName name="_123Graph_B" localSheetId="56" hidden="1">#REF!</definedName>
    <definedName name="_123Graph_B" hidden="1">#REF!</definedName>
    <definedName name="_123Graph_DB" localSheetId="64" hidden="1">#REF!</definedName>
    <definedName name="_123Graph_DB" localSheetId="1" hidden="1">#REF!</definedName>
    <definedName name="_123Graph_DB" localSheetId="55" hidden="1">#REF!</definedName>
    <definedName name="_123Graph_DB" localSheetId="56" hidden="1">#REF!</definedName>
    <definedName name="_123Graph_DB" hidden="1">#REF!</definedName>
    <definedName name="_123Graph_EB" localSheetId="64" hidden="1">#REF!</definedName>
    <definedName name="_123Graph_EB" localSheetId="1" hidden="1">#REF!</definedName>
    <definedName name="_123Graph_EB" localSheetId="55" hidden="1">#REF!</definedName>
    <definedName name="_123Graph_EB" localSheetId="56" hidden="1">#REF!</definedName>
    <definedName name="_123Graph_EB" hidden="1">#REF!</definedName>
    <definedName name="_123Graph_FB" localSheetId="64" hidden="1">#REF!</definedName>
    <definedName name="_123Graph_FB" localSheetId="1" hidden="1">#REF!</definedName>
    <definedName name="_123Graph_FB" localSheetId="55" hidden="1">#REF!</definedName>
    <definedName name="_123Graph_FB" localSheetId="56" hidden="1">#REF!</definedName>
    <definedName name="_123Graph_FB" hidden="1">#REF!</definedName>
    <definedName name="_125__123Graph_CCHART_5" localSheetId="56" hidden="1">'[17]Employment Data Sectors (wages)'!$C$24:$C$35</definedName>
    <definedName name="_125__123Graph_CCHART_5" hidden="1">'[13]Employment Data Sectors (wages)'!$C$24:$C$35</definedName>
    <definedName name="_127__123Graph_CCHART_6" localSheetId="56" hidden="1">'[18]Employment Data Sectors (wages)'!$U$49:$U$8103</definedName>
    <definedName name="_13__123Graph_BCHART_3" hidden="1">'[15]Employment Data Sectors (wages)'!$B$11:$B$8185</definedName>
    <definedName name="_13__123Graph_BCHART_4" hidden="1">'[16]Employment Data Sectors (wages)'!$B$12:$B$23</definedName>
    <definedName name="_130__123Graph_CCHART_6" localSheetId="56" hidden="1">'[17]Employment Data Sectors (wages)'!$U$49:$U$8103</definedName>
    <definedName name="_130__123Graph_CCHART_6" hidden="1">'[13]Employment Data Sectors (wages)'!$U$49:$U$8103</definedName>
    <definedName name="_132__123Graph_CCHART_7" localSheetId="56" hidden="1">'[18]Employment Data Sectors (wages)'!$Y$14:$Y$25</definedName>
    <definedName name="_132Graph_CB" localSheetId="64" hidden="1">#REF!</definedName>
    <definedName name="_132Graph_CB" localSheetId="1" hidden="1">#REF!</definedName>
    <definedName name="_132Graph_CB" localSheetId="55" hidden="1">#REF!</definedName>
    <definedName name="_132Graph_CB" localSheetId="56" hidden="1">#REF!</definedName>
    <definedName name="_132Graph_CB" hidden="1">#REF!</definedName>
    <definedName name="_135__123Graph_CCHART_7" localSheetId="56" hidden="1">'[17]Employment Data Sectors (wages)'!$Y$14:$Y$25</definedName>
    <definedName name="_135__123Graph_CCHART_7" hidden="1">'[13]Employment Data Sectors (wages)'!$Y$14:$Y$25</definedName>
    <definedName name="_137__123Graph_CCHART_8" localSheetId="56" hidden="1">'[18]Employment Data Sectors (wages)'!$W$14:$W$25</definedName>
    <definedName name="_14__123Graph_ACHART_4" localSheetId="64" hidden="1">'[13]Employment Data Sectors (wages)'!$A$12:$A$23</definedName>
    <definedName name="_14__123Graph_ACHART_4" hidden="1">'[14]Employment Data Sectors (wages)'!$A$12:$A$23</definedName>
    <definedName name="_14__123Graph_BCHART_4" hidden="1">'[15]Employment Data Sectors (wages)'!$B$12:$B$23</definedName>
    <definedName name="_14__123Graph_BCHART_5" hidden="1">'[16]Employment Data Sectors (wages)'!$B$24:$B$35</definedName>
    <definedName name="_140__123Graph_CCHART_8" localSheetId="56" hidden="1">'[17]Employment Data Sectors (wages)'!$W$14:$W$25</definedName>
    <definedName name="_140__123Graph_CCHART_8" hidden="1">'[13]Employment Data Sectors (wages)'!$W$14:$W$25</definedName>
    <definedName name="_142__123Graph_DCHART_7" localSheetId="56" hidden="1">'[18]Employment Data Sectors (wages)'!$Y$26:$Y$37</definedName>
    <definedName name="_145__123Graph_DCHART_7" localSheetId="56" hidden="1">'[17]Employment Data Sectors (wages)'!$Y$26:$Y$37</definedName>
    <definedName name="_145__123Graph_DCHART_7" hidden="1">'[13]Employment Data Sectors (wages)'!$Y$26:$Y$37</definedName>
    <definedName name="_147__123Graph_DCHART_8" localSheetId="56" hidden="1">'[18]Employment Data Sectors (wages)'!$W$26:$W$37</definedName>
    <definedName name="_15__123Graph_BCHART_5" hidden="1">'[15]Employment Data Sectors (wages)'!$B$24:$B$35</definedName>
    <definedName name="_15__123Graph_BCHART_6" hidden="1">'[16]Employment Data Sectors (wages)'!$AS$49:$AS$8103</definedName>
    <definedName name="_150__123Graph_DCHART_8" localSheetId="56" hidden="1">'[17]Employment Data Sectors (wages)'!$W$26:$W$37</definedName>
    <definedName name="_150__123Graph_DCHART_8" hidden="1">'[13]Employment Data Sectors (wages)'!$W$26:$W$37</definedName>
    <definedName name="_152__123Graph_ECHART_7" localSheetId="56" hidden="1">'[18]Employment Data Sectors (wages)'!$Y$38:$Y$49</definedName>
    <definedName name="_155__123Graph_ECHART_7" localSheetId="56" hidden="1">'[17]Employment Data Sectors (wages)'!$Y$38:$Y$49</definedName>
    <definedName name="_155__123Graph_ECHART_7" hidden="1">'[13]Employment Data Sectors (wages)'!$Y$38:$Y$49</definedName>
    <definedName name="_157__123Graph_ECHART_8" localSheetId="56" hidden="1">'[18]Employment Data Sectors (wages)'!$H$86:$H$99</definedName>
    <definedName name="_16__123Graph_ACHART_5" localSheetId="64" hidden="1">'[13]Employment Data Sectors (wages)'!$A$24:$A$35</definedName>
    <definedName name="_16__123Graph_ACHART_5" hidden="1">'[14]Employment Data Sectors (wages)'!$A$24:$A$35</definedName>
    <definedName name="_16__123Graph_BCHART_6" hidden="1">'[15]Employment Data Sectors (wages)'!$AS$49:$AS$8103</definedName>
    <definedName name="_16__123Graph_BCHART_7" hidden="1">'[16]Employment Data Sectors (wages)'!$Y$13:$Y$8187</definedName>
    <definedName name="_160__123Graph_ECHART_8" localSheetId="56" hidden="1">'[17]Employment Data Sectors (wages)'!$H$86:$H$99</definedName>
    <definedName name="_160__123Graph_ECHART_8" hidden="1">'[13]Employment Data Sectors (wages)'!$H$86:$H$99</definedName>
    <definedName name="_162__123Graph_FCHART_8" localSheetId="56" hidden="1">'[18]Employment Data Sectors (wages)'!$H$6:$H$17</definedName>
    <definedName name="_165__123Graph_FCHART_8" localSheetId="56" hidden="1">'[17]Employment Data Sectors (wages)'!$H$6:$H$17</definedName>
    <definedName name="_165__123Graph_FCHART_8" hidden="1">'[13]Employment Data Sectors (wages)'!$H$6:$H$17</definedName>
    <definedName name="_17__123Graph_BCHART_7" hidden="1">'[15]Employment Data Sectors (wages)'!$Y$13:$Y$8187</definedName>
    <definedName name="_17__123Graph_BCHART_8" hidden="1">'[16]Employment Data Sectors (wages)'!$W$13:$W$8187</definedName>
    <definedName name="_18__123Graph_ACHART_6" localSheetId="64" hidden="1">'[13]Employment Data Sectors (wages)'!$Y$49:$Y$8103</definedName>
    <definedName name="_18__123Graph_ACHART_6" hidden="1">'[14]Employment Data Sectors (wages)'!$Y$49:$Y$8103</definedName>
    <definedName name="_18__123Graph_BCHART_8" hidden="1">'[15]Employment Data Sectors (wages)'!$W$13:$W$8187</definedName>
    <definedName name="_18__123Graph_CCHART_1" hidden="1">'[16]Employment Data Sectors (wages)'!$C$8173:$C$8184</definedName>
    <definedName name="_19__123Graph_CCHART_1" hidden="1">'[15]Employment Data Sectors (wages)'!$C$8173:$C$8184</definedName>
    <definedName name="_19__123Graph_CCHART_2" hidden="1">'[16]Employment Data Sectors (wages)'!$C$8173:$C$8184</definedName>
    <definedName name="_1992BOPB" localSheetId="64">#REF!</definedName>
    <definedName name="_1992BOPB" localSheetId="1">#REF!</definedName>
    <definedName name="_1992BOPB">#REF!</definedName>
    <definedName name="_1Macros_Import_.qbop" localSheetId="64">[19]!'[Macros Import].qbop'</definedName>
    <definedName name="_1Macros_Import_.qbop">[19]!'[Macros Import].qbop'</definedName>
    <definedName name="_2__123Graph_ACHART_1" hidden="1">'[16]Employment Data Sectors (wages)'!$A$8173:$A$8184</definedName>
    <definedName name="_20__123Graph_ACHART_7" localSheetId="64" hidden="1">'[13]Employment Data Sectors (wages)'!$Y$8175:$Y$8186</definedName>
    <definedName name="_20__123Graph_ACHART_7" hidden="1">'[14]Employment Data Sectors (wages)'!$Y$8175:$Y$8186</definedName>
    <definedName name="_20__123Graph_CCHART_2" hidden="1">'[15]Employment Data Sectors (wages)'!$C$8173:$C$8184</definedName>
    <definedName name="_20__123Graph_CCHART_3" hidden="1">'[16]Employment Data Sectors (wages)'!$C$11:$C$8185</definedName>
    <definedName name="_20Macros_Import_.qbop" localSheetId="1">[19]!'[Macros Import].qbop'</definedName>
    <definedName name="_20Macros_Import_.qbop">[19]!'[Macros Import].qbop'</definedName>
    <definedName name="_21__123Graph_CCHART_3" hidden="1">'[15]Employment Data Sectors (wages)'!$C$11:$C$8185</definedName>
    <definedName name="_21__123Graph_CCHART_4" hidden="1">'[16]Employment Data Sectors (wages)'!$C$12:$C$23</definedName>
    <definedName name="_22__123Graph_ACHART_1" localSheetId="56" hidden="1">'[18]Employment Data Sectors (wages)'!$A$8173:$A$8184</definedName>
    <definedName name="_22__123Graph_ACHART_8" localSheetId="64" hidden="1">'[13]Employment Data Sectors (wages)'!$W$8175:$W$8186</definedName>
    <definedName name="_22__123Graph_ACHART_8" hidden="1">'[14]Employment Data Sectors (wages)'!$W$8175:$W$8186</definedName>
    <definedName name="_22__123Graph_CCHART_4" hidden="1">'[15]Employment Data Sectors (wages)'!$C$12:$C$23</definedName>
    <definedName name="_22__123Graph_CCHART_5" hidden="1">'[16]Employment Data Sectors (wages)'!$C$24:$C$35</definedName>
    <definedName name="_23__123Graph_CCHART_5" hidden="1">'[15]Employment Data Sectors (wages)'!$C$24:$C$35</definedName>
    <definedName name="_23__123Graph_CCHART_6" hidden="1">'[16]Employment Data Sectors (wages)'!$U$49:$U$8103</definedName>
    <definedName name="_24__123Graph_BCHART_1" localSheetId="64" hidden="1">'[13]Employment Data Sectors (wages)'!$B$8173:$B$8184</definedName>
    <definedName name="_24__123Graph_BCHART_1" hidden="1">'[14]Employment Data Sectors (wages)'!$B$8173:$B$8184</definedName>
    <definedName name="_24__123Graph_CCHART_6" hidden="1">'[15]Employment Data Sectors (wages)'!$U$49:$U$8103</definedName>
    <definedName name="_24__123Graph_CCHART_7" hidden="1">'[16]Employment Data Sectors (wages)'!$Y$14:$Y$25</definedName>
    <definedName name="_25__123Graph_ACHART_1" localSheetId="56" hidden="1">'[17]Employment Data Sectors (wages)'!$A$8173:$A$8184</definedName>
    <definedName name="_25__123Graph_ACHART_1" hidden="1">'[13]Employment Data Sectors (wages)'!$A$8173:$A$8184</definedName>
    <definedName name="_25__123Graph_CCHART_7" hidden="1">'[15]Employment Data Sectors (wages)'!$Y$14:$Y$25</definedName>
    <definedName name="_25__123Graph_CCHART_8" hidden="1">'[16]Employment Data Sectors (wages)'!$W$14:$W$25</definedName>
    <definedName name="_26__123Graph_BCHART_2" localSheetId="64" hidden="1">'[13]Employment Data Sectors (wages)'!$B$8173:$B$8184</definedName>
    <definedName name="_26__123Graph_BCHART_2" hidden="1">'[14]Employment Data Sectors (wages)'!$B$8173:$B$8184</definedName>
    <definedName name="_26__123Graph_CCHART_8" hidden="1">'[15]Employment Data Sectors (wages)'!$W$14:$W$25</definedName>
    <definedName name="_26__123Graph_DCHART_7" hidden="1">'[16]Employment Data Sectors (wages)'!$Y$26:$Y$37</definedName>
    <definedName name="_27__123Graph_ACHART_2" localSheetId="56" hidden="1">'[18]Employment Data Sectors (wages)'!$A$8173:$A$8184</definedName>
    <definedName name="_27__123Graph_DCHART_7" hidden="1">'[15]Employment Data Sectors (wages)'!$Y$26:$Y$37</definedName>
    <definedName name="_27__123Graph_DCHART_8" hidden="1">'[16]Employment Data Sectors (wages)'!$W$26:$W$37</definedName>
    <definedName name="_28__123Graph_BCHART_3" localSheetId="64" hidden="1">'[13]Employment Data Sectors (wages)'!$B$11:$B$8185</definedName>
    <definedName name="_28__123Graph_BCHART_3" hidden="1">'[14]Employment Data Sectors (wages)'!$B$11:$B$8185</definedName>
    <definedName name="_28__123Graph_DCHART_8" hidden="1">'[15]Employment Data Sectors (wages)'!$W$26:$W$37</definedName>
    <definedName name="_28__123Graph_ECHART_7" hidden="1">'[16]Employment Data Sectors (wages)'!$Y$38:$Y$49</definedName>
    <definedName name="_29__123Graph_ECHART_7" hidden="1">'[15]Employment Data Sectors (wages)'!$Y$38:$Y$49</definedName>
    <definedName name="_29__123Graph_ECHART_8" hidden="1">'[16]Employment Data Sectors (wages)'!$H$86:$H$99</definedName>
    <definedName name="_2Macros_Import_.qbop" localSheetId="64">[19]!'[Macros Import].qbop'</definedName>
    <definedName name="_2Macros_Import_.qbop">[19]!'[Macros Import].qbop'</definedName>
    <definedName name="_3__123Graph_ACHART_1" hidden="1">'[15]Employment Data Sectors (wages)'!$A$8173:$A$8184</definedName>
    <definedName name="_3__123Graph_ACHART_2" hidden="1">'[16]Employment Data Sectors (wages)'!$A$8173:$A$8184</definedName>
    <definedName name="_30__123Graph_ACHART_2" localSheetId="56" hidden="1">'[17]Employment Data Sectors (wages)'!$A$8173:$A$8184</definedName>
    <definedName name="_30__123Graph_ACHART_2" hidden="1">'[13]Employment Data Sectors (wages)'!$A$8173:$A$8184</definedName>
    <definedName name="_30__123Graph_BCHART_4" localSheetId="64" hidden="1">'[13]Employment Data Sectors (wages)'!$B$12:$B$23</definedName>
    <definedName name="_30__123Graph_BCHART_4" hidden="1">'[14]Employment Data Sectors (wages)'!$B$12:$B$23</definedName>
    <definedName name="_30__123Graph_ECHART_8" hidden="1">'[15]Employment Data Sectors (wages)'!$H$86:$H$99</definedName>
    <definedName name="_30__123Graph_FCHART_8" hidden="1">'[16]Employment Data Sectors (wages)'!$H$6:$H$17</definedName>
    <definedName name="_31__123Graph_FCHART_8" hidden="1">'[15]Employment Data Sectors (wages)'!$H$6:$H$17</definedName>
    <definedName name="_32__123Graph_ACHART_3" localSheetId="56" hidden="1">'[18]Employment Data Sectors (wages)'!$A$11:$A$8185</definedName>
    <definedName name="_32__123Graph_BCHART_5" localSheetId="64" hidden="1">'[13]Employment Data Sectors (wages)'!$B$24:$B$35</definedName>
    <definedName name="_32__123Graph_BCHART_5" hidden="1">'[14]Employment Data Sectors (wages)'!$B$24:$B$35</definedName>
    <definedName name="_34__123Graph_BCHART_6" localSheetId="64" hidden="1">'[13]Employment Data Sectors (wages)'!$AS$49:$AS$8103</definedName>
    <definedName name="_34__123Graph_BCHART_6" hidden="1">'[14]Employment Data Sectors (wages)'!$AS$49:$AS$8103</definedName>
    <definedName name="_35__123Graph_ACHART_3" localSheetId="56" hidden="1">'[17]Employment Data Sectors (wages)'!$A$11:$A$8185</definedName>
    <definedName name="_35__123Graph_ACHART_3" hidden="1">'[13]Employment Data Sectors (wages)'!$A$11:$A$8185</definedName>
    <definedName name="_36__123Graph_BCHART_7" localSheetId="64" hidden="1">'[13]Employment Data Sectors (wages)'!$Y$13:$Y$8187</definedName>
    <definedName name="_36__123Graph_BCHART_7" hidden="1">'[14]Employment Data Sectors (wages)'!$Y$13:$Y$8187</definedName>
    <definedName name="_37__123Graph_ACHART_4" localSheetId="56" hidden="1">'[18]Employment Data Sectors (wages)'!$A$12:$A$23</definedName>
    <definedName name="_38__123Graph_BCHART_8" localSheetId="64" hidden="1">'[13]Employment Data Sectors (wages)'!$W$13:$W$8187</definedName>
    <definedName name="_38__123Graph_BCHART_8" hidden="1">'[14]Employment Data Sectors (wages)'!$W$13:$W$8187</definedName>
    <definedName name="_4__123Graph_ACHART_2" hidden="1">'[15]Employment Data Sectors (wages)'!$A$8173:$A$8184</definedName>
    <definedName name="_4__123Graph_ACHART_3" hidden="1">'[16]Employment Data Sectors (wages)'!$A$11:$A$8185</definedName>
    <definedName name="_40__123Graph_ACHART_4" localSheetId="56" hidden="1">'[17]Employment Data Sectors (wages)'!$A$12:$A$23</definedName>
    <definedName name="_40__123Graph_ACHART_4" hidden="1">'[13]Employment Data Sectors (wages)'!$A$12:$A$23</definedName>
    <definedName name="_40__123Graph_CCHART_1" localSheetId="64" hidden="1">'[13]Employment Data Sectors (wages)'!$C$8173:$C$8184</definedName>
    <definedName name="_40__123Graph_CCHART_1" hidden="1">'[14]Employment Data Sectors (wages)'!$C$8173:$C$8184</definedName>
    <definedName name="_42__123Graph_ACHART_5" localSheetId="56" hidden="1">'[18]Employment Data Sectors (wages)'!$A$24:$A$35</definedName>
    <definedName name="_42__123Graph_CCHART_2" localSheetId="64" hidden="1">'[13]Employment Data Sectors (wages)'!$C$8173:$C$8184</definedName>
    <definedName name="_42__123Graph_CCHART_2" hidden="1">'[14]Employment Data Sectors (wages)'!$C$8173:$C$8184</definedName>
    <definedName name="_44__123Graph_CCHART_3" localSheetId="64" hidden="1">'[13]Employment Data Sectors (wages)'!$C$11:$C$8185</definedName>
    <definedName name="_44__123Graph_CCHART_3" hidden="1">'[14]Employment Data Sectors (wages)'!$C$11:$C$8185</definedName>
    <definedName name="_45__123Graph_ACHART_5" localSheetId="56" hidden="1">'[17]Employment Data Sectors (wages)'!$A$24:$A$35</definedName>
    <definedName name="_45__123Graph_ACHART_5" hidden="1">'[13]Employment Data Sectors (wages)'!$A$24:$A$35</definedName>
    <definedName name="_46__123Graph_CCHART_4" localSheetId="64" hidden="1">'[13]Employment Data Sectors (wages)'!$C$12:$C$23</definedName>
    <definedName name="_46__123Graph_CCHART_4" hidden="1">'[14]Employment Data Sectors (wages)'!$C$12:$C$23</definedName>
    <definedName name="_47__123Graph_ACHART_6" localSheetId="56" hidden="1">'[18]Employment Data Sectors (wages)'!$Y$49:$Y$8103</definedName>
    <definedName name="_48__123Graph_CCHART_5" localSheetId="64" hidden="1">'[13]Employment Data Sectors (wages)'!$C$24:$C$35</definedName>
    <definedName name="_48__123Graph_CCHART_5" hidden="1">'[14]Employment Data Sectors (wages)'!$C$24:$C$35</definedName>
    <definedName name="_5__123Graph_ACHART_3" hidden="1">'[15]Employment Data Sectors (wages)'!$A$11:$A$8185</definedName>
    <definedName name="_5__123Graph_ACHART_4" hidden="1">'[16]Employment Data Sectors (wages)'!$A$12:$A$23</definedName>
    <definedName name="_50__123Graph_ACHART_6" localSheetId="56" hidden="1">'[17]Employment Data Sectors (wages)'!$Y$49:$Y$8103</definedName>
    <definedName name="_50__123Graph_ACHART_6" hidden="1">'[13]Employment Data Sectors (wages)'!$Y$49:$Y$8103</definedName>
    <definedName name="_50__123Graph_CCHART_6" localSheetId="64" hidden="1">'[13]Employment Data Sectors (wages)'!$U$49:$U$8103</definedName>
    <definedName name="_50__123Graph_CCHART_6" hidden="1">'[14]Employment Data Sectors (wages)'!$U$49:$U$8103</definedName>
    <definedName name="_52__123Graph_ACHART_7" localSheetId="56" hidden="1">'[18]Employment Data Sectors (wages)'!$Y$8175:$Y$8186</definedName>
    <definedName name="_52__123Graph_CCHART_7" localSheetId="64" hidden="1">'[13]Employment Data Sectors (wages)'!$Y$14:$Y$25</definedName>
    <definedName name="_52__123Graph_CCHART_7" hidden="1">'[14]Employment Data Sectors (wages)'!$Y$14:$Y$25</definedName>
    <definedName name="_54__123Graph_CCHART_8" localSheetId="64" hidden="1">'[13]Employment Data Sectors (wages)'!$W$14:$W$25</definedName>
    <definedName name="_54__123Graph_CCHART_8" hidden="1">'[14]Employment Data Sectors (wages)'!$W$14:$W$25</definedName>
    <definedName name="_55__123Graph_ACHART_7" localSheetId="56" hidden="1">'[17]Employment Data Sectors (wages)'!$Y$8175:$Y$8186</definedName>
    <definedName name="_55__123Graph_ACHART_7" hidden="1">'[13]Employment Data Sectors (wages)'!$Y$8175:$Y$8186</definedName>
    <definedName name="_56__123Graph_DCHART_7" localSheetId="64" hidden="1">'[13]Employment Data Sectors (wages)'!$Y$26:$Y$37</definedName>
    <definedName name="_56__123Graph_DCHART_7" hidden="1">'[14]Employment Data Sectors (wages)'!$Y$26:$Y$37</definedName>
    <definedName name="_57__123Graph_ACHART_8" localSheetId="56" hidden="1">'[18]Employment Data Sectors (wages)'!$W$8175:$W$8186</definedName>
    <definedName name="_58__123Graph_DCHART_8" localSheetId="64" hidden="1">'[13]Employment Data Sectors (wages)'!$W$26:$W$37</definedName>
    <definedName name="_58__123Graph_DCHART_8" hidden="1">'[14]Employment Data Sectors (wages)'!$W$26:$W$37</definedName>
    <definedName name="_5Macros_Import_.qbop" localSheetId="56">[19]!'[Macros Import].qbop'</definedName>
    <definedName name="_6__123Graph_ACHART_4" hidden="1">'[15]Employment Data Sectors (wages)'!$A$12:$A$23</definedName>
    <definedName name="_6__123Graph_ACHART_5" hidden="1">'[16]Employment Data Sectors (wages)'!$A$24:$A$35</definedName>
    <definedName name="_60__123Graph_ACHART_8" localSheetId="56" hidden="1">'[17]Employment Data Sectors (wages)'!$W$8175:$W$8186</definedName>
    <definedName name="_60__123Graph_ACHART_8" hidden="1">'[13]Employment Data Sectors (wages)'!$W$8175:$W$8186</definedName>
    <definedName name="_60__123Graph_ECHART_7" localSheetId="64" hidden="1">'[13]Employment Data Sectors (wages)'!$Y$38:$Y$49</definedName>
    <definedName name="_60__123Graph_ECHART_7" hidden="1">'[14]Employment Data Sectors (wages)'!$Y$38:$Y$49</definedName>
    <definedName name="_62__123Graph_BCHART_1" localSheetId="56" hidden="1">'[18]Employment Data Sectors (wages)'!$B$8173:$B$8184</definedName>
    <definedName name="_62__123Graph_ECHART_8" localSheetId="64" hidden="1">'[13]Employment Data Sectors (wages)'!$H$86:$H$99</definedName>
    <definedName name="_62__123Graph_ECHART_8" hidden="1">'[14]Employment Data Sectors (wages)'!$H$86:$H$99</definedName>
    <definedName name="_64__123Graph_FCHART_8" localSheetId="64" hidden="1">'[13]Employment Data Sectors (wages)'!$H$6:$H$17</definedName>
    <definedName name="_64__123Graph_FCHART_8" hidden="1">'[14]Employment Data Sectors (wages)'!$H$6:$H$17</definedName>
    <definedName name="_65__123Graph_BCHART_1" localSheetId="56" hidden="1">'[17]Employment Data Sectors (wages)'!$B$8173:$B$8184</definedName>
    <definedName name="_65__123Graph_BCHART_1" hidden="1">'[13]Employment Data Sectors (wages)'!$B$8173:$B$8184</definedName>
    <definedName name="_67__123Graph_BCHART_2" localSheetId="56" hidden="1">'[18]Employment Data Sectors (wages)'!$B$8173:$B$8184</definedName>
    <definedName name="_6Macros_Import_.qbop" localSheetId="64">[19]!'[Macros Import].qbop'</definedName>
    <definedName name="_6Macros_Import_.qbop">[19]!'[Macros Import].qbop'</definedName>
    <definedName name="_7__123Graph_ACHART_5" hidden="1">'[15]Employment Data Sectors (wages)'!$A$24:$A$35</definedName>
    <definedName name="_7__123Graph_ACHART_6" hidden="1">'[16]Employment Data Sectors (wages)'!$Y$49:$Y$8103</definedName>
    <definedName name="_70__123Graph_BCHART_2" localSheetId="56" hidden="1">'[17]Employment Data Sectors (wages)'!$B$8173:$B$8184</definedName>
    <definedName name="_70__123Graph_BCHART_2" hidden="1">'[13]Employment Data Sectors (wages)'!$B$8173:$B$8184</definedName>
    <definedName name="_72__123Graph_BCHART_3" localSheetId="56" hidden="1">'[18]Employment Data Sectors (wages)'!$B$11:$B$8185</definedName>
    <definedName name="_75__123Graph_BCHART_3" localSheetId="56" hidden="1">'[17]Employment Data Sectors (wages)'!$B$11:$B$8185</definedName>
    <definedName name="_75__123Graph_BCHART_3" hidden="1">'[13]Employment Data Sectors (wages)'!$B$11:$B$8185</definedName>
    <definedName name="_77__123Graph_BCHART_4" localSheetId="56" hidden="1">'[18]Employment Data Sectors (wages)'!$B$12:$B$23</definedName>
    <definedName name="_8__123Graph_ACHART_1" localSheetId="64" hidden="1">'[13]Employment Data Sectors (wages)'!$A$8173:$A$8184</definedName>
    <definedName name="_8__123Graph_ACHART_1" hidden="1">'[14]Employment Data Sectors (wages)'!$A$8173:$A$8184</definedName>
    <definedName name="_8__123Graph_ACHART_6" hidden="1">'[15]Employment Data Sectors (wages)'!$Y$49:$Y$8103</definedName>
    <definedName name="_8__123Graph_ACHART_7" hidden="1">'[16]Employment Data Sectors (wages)'!$Y$8175:$Y$8186</definedName>
    <definedName name="_80__123Graph_BCHART_4" localSheetId="56" hidden="1">'[17]Employment Data Sectors (wages)'!$B$12:$B$23</definedName>
    <definedName name="_80__123Graph_BCHART_4" hidden="1">'[13]Employment Data Sectors (wages)'!$B$12:$B$23</definedName>
    <definedName name="_82__123Graph_BCHART_5" localSheetId="56" hidden="1">'[18]Employment Data Sectors (wages)'!$B$24:$B$35</definedName>
    <definedName name="_85__123Graph_BCHART_5" localSheetId="56" hidden="1">'[17]Employment Data Sectors (wages)'!$B$24:$B$35</definedName>
    <definedName name="_85__123Graph_BCHART_5" hidden="1">'[13]Employment Data Sectors (wages)'!$B$24:$B$35</definedName>
    <definedName name="_87__123Graph_BCHART_6" localSheetId="56" hidden="1">'[18]Employment Data Sectors (wages)'!$AS$49:$AS$8103</definedName>
    <definedName name="_9__123Graph_ACHART_7" hidden="1">'[15]Employment Data Sectors (wages)'!$Y$8175:$Y$8186</definedName>
    <definedName name="_9__123Graph_ACHART_8" hidden="1">'[16]Employment Data Sectors (wages)'!$W$8175:$W$8186</definedName>
    <definedName name="_90__123Graph_BCHART_6" localSheetId="56" hidden="1">'[17]Employment Data Sectors (wages)'!$AS$49:$AS$8103</definedName>
    <definedName name="_90__123Graph_BCHART_6" hidden="1">'[13]Employment Data Sectors (wages)'!$AS$49:$AS$8103</definedName>
    <definedName name="_92__123Graph_BCHART_7" localSheetId="56" hidden="1">'[18]Employment Data Sectors (wages)'!$Y$13:$Y$8187</definedName>
    <definedName name="_95__123Graph_BCHART_7" localSheetId="56" hidden="1">'[17]Employment Data Sectors (wages)'!$Y$13:$Y$8187</definedName>
    <definedName name="_95__123Graph_BCHART_7" hidden="1">'[13]Employment Data Sectors (wages)'!$Y$13:$Y$8187</definedName>
    <definedName name="_97__123Graph_BCHART_8" localSheetId="56" hidden="1">'[18]Employment Data Sectors (wages)'!$W$13:$W$8187</definedName>
    <definedName name="_BOP1" localSheetId="64">#REF!</definedName>
    <definedName name="_BOP1" localSheetId="1">#REF!</definedName>
    <definedName name="_BOP1" localSheetId="56">#REF!</definedName>
    <definedName name="_BOP1">#REF!</definedName>
    <definedName name="_BOP2" localSheetId="64">[1]BoP!#REF!</definedName>
    <definedName name="_BOP2" localSheetId="1">[1]BoP!#REF!</definedName>
    <definedName name="_BOP2" localSheetId="56">[1]BoP!#REF!</definedName>
    <definedName name="_BOP2">[1]BoP!#REF!</definedName>
    <definedName name="_dat1" localSheetId="64">'[2]work Q real'!#REF!</definedName>
    <definedName name="_dat1" localSheetId="1">'[2]work Q real'!#REF!</definedName>
    <definedName name="_dat1" localSheetId="56">'[2]work Q real'!#REF!</definedName>
    <definedName name="_dat1">'[2]work Q real'!#REF!</definedName>
    <definedName name="_dat2" localSheetId="64">#REF!</definedName>
    <definedName name="_dat2" localSheetId="1">#REF!</definedName>
    <definedName name="_dat2" localSheetId="56">#REF!</definedName>
    <definedName name="_dat2">#REF!</definedName>
    <definedName name="_EXP5" localSheetId="64">#REF!</definedName>
    <definedName name="_EXP5" localSheetId="1">#REF!</definedName>
    <definedName name="_EXP5" localSheetId="56">#REF!</definedName>
    <definedName name="_EXP5">#REF!</definedName>
    <definedName name="_EXP6" localSheetId="64">#REF!</definedName>
    <definedName name="_EXP6" localSheetId="1">#REF!</definedName>
    <definedName name="_EXP6" localSheetId="56">#REF!</definedName>
    <definedName name="_EXP6">#REF!</definedName>
    <definedName name="_EXP7" localSheetId="64">#REF!</definedName>
    <definedName name="_EXP7" localSheetId="1">#REF!</definedName>
    <definedName name="_EXP7" localSheetId="56">#REF!</definedName>
    <definedName name="_EXP7">#REF!</definedName>
    <definedName name="_EXP9" localSheetId="64">#REF!</definedName>
    <definedName name="_EXP9" localSheetId="1">#REF!</definedName>
    <definedName name="_EXP9" localSheetId="56">#REF!</definedName>
    <definedName name="_EXP9">#REF!</definedName>
    <definedName name="_Fill" localSheetId="64" hidden="1">#REF!</definedName>
    <definedName name="_Fill" localSheetId="1" hidden="1">#REF!</definedName>
    <definedName name="_Fill" localSheetId="55" hidden="1">#REF!</definedName>
    <definedName name="_Fill" localSheetId="56" hidden="1">#REF!</definedName>
    <definedName name="_Fill" hidden="1">#REF!</definedName>
    <definedName name="_ftn1" localSheetId="8">'Tab 2 '!$A$24</definedName>
    <definedName name="_ftnref1" localSheetId="8">'Tab 2 '!$B$9</definedName>
    <definedName name="_IMP10" localSheetId="64">#REF!</definedName>
    <definedName name="_IMP10" localSheetId="1">#REF!</definedName>
    <definedName name="_IMP10" localSheetId="56">#REF!</definedName>
    <definedName name="_IMP10">#REF!</definedName>
    <definedName name="_IMP2" localSheetId="64">#REF!</definedName>
    <definedName name="_IMP2" localSheetId="1">#REF!</definedName>
    <definedName name="_IMP2" localSheetId="56">#REF!</definedName>
    <definedName name="_IMP2">#REF!</definedName>
    <definedName name="_IMP4" localSheetId="64">#REF!</definedName>
    <definedName name="_IMP4" localSheetId="1">#REF!</definedName>
    <definedName name="_IMP4" localSheetId="56">#REF!</definedName>
    <definedName name="_IMP4">#REF!</definedName>
    <definedName name="_IMP6" localSheetId="64">#REF!</definedName>
    <definedName name="_IMP6" localSheetId="1">#REF!</definedName>
    <definedName name="_IMP6" localSheetId="56">#REF!</definedName>
    <definedName name="_IMP6">#REF!</definedName>
    <definedName name="_IMP7" localSheetId="64">#REF!</definedName>
    <definedName name="_IMP7" localSheetId="1">#REF!</definedName>
    <definedName name="_IMP7" localSheetId="56">#REF!</definedName>
    <definedName name="_IMP7">#REF!</definedName>
    <definedName name="_IMP8" localSheetId="64">#REF!</definedName>
    <definedName name="_IMP8" localSheetId="1">#REF!</definedName>
    <definedName name="_IMP8" localSheetId="56">#REF!</definedName>
    <definedName name="_IMP8">#REF!</definedName>
    <definedName name="_MTS2" localSheetId="64">'[3]Annual Tables'!#REF!</definedName>
    <definedName name="_MTS2" localSheetId="1">'[3]Annual Tables'!#REF!</definedName>
    <definedName name="_MTS2" localSheetId="56">'[3]Annual Tables'!#REF!</definedName>
    <definedName name="_MTS2">'[3]Annual Tables'!#REF!</definedName>
    <definedName name="_Order1" hidden="1">255</definedName>
    <definedName name="_Order2" hidden="1">255</definedName>
    <definedName name="_OUT1" localSheetId="64">#REF!</definedName>
    <definedName name="_OUT1" localSheetId="1">#REF!</definedName>
    <definedName name="_OUT1" localSheetId="56">#REF!</definedName>
    <definedName name="_OUT1">#REF!</definedName>
    <definedName name="_OUT2" localSheetId="64">#REF!</definedName>
    <definedName name="_OUT2" localSheetId="1">#REF!</definedName>
    <definedName name="_OUT2" localSheetId="56">#REF!</definedName>
    <definedName name="_OUT2">#REF!</definedName>
    <definedName name="_PAG2" localSheetId="64">[3]Index!#REF!</definedName>
    <definedName name="_PAG2" localSheetId="1">[3]Index!#REF!</definedName>
    <definedName name="_PAG2" localSheetId="56">[3]Index!#REF!</definedName>
    <definedName name="_PAG2">[3]Index!#REF!</definedName>
    <definedName name="_PAG3" localSheetId="64">[3]Index!#REF!</definedName>
    <definedName name="_PAG3" localSheetId="1">[3]Index!#REF!</definedName>
    <definedName name="_PAG3" localSheetId="56">[3]Index!#REF!</definedName>
    <definedName name="_PAG3">[3]Index!#REF!</definedName>
    <definedName name="_PAG4" localSheetId="64">[3]Index!#REF!</definedName>
    <definedName name="_PAG4" localSheetId="1">[3]Index!#REF!</definedName>
    <definedName name="_PAG4" localSheetId="56">[3]Index!#REF!</definedName>
    <definedName name="_PAG4">[3]Index!#REF!</definedName>
    <definedName name="_PAG5" localSheetId="64">[3]Index!#REF!</definedName>
    <definedName name="_PAG5" localSheetId="1">[3]Index!#REF!</definedName>
    <definedName name="_PAG5" localSheetId="56">[3]Index!#REF!</definedName>
    <definedName name="_PAG5">[3]Index!#REF!</definedName>
    <definedName name="_PAG6" localSheetId="64">[3]Index!#REF!</definedName>
    <definedName name="_PAG6" localSheetId="1">[3]Index!#REF!</definedName>
    <definedName name="_PAG6" localSheetId="56">[3]Index!#REF!</definedName>
    <definedName name="_PAG6">[3]Index!#REF!</definedName>
    <definedName name="_PAG7" localSheetId="64">#REF!</definedName>
    <definedName name="_PAG7" localSheetId="1">#REF!</definedName>
    <definedName name="_PAG7" localSheetId="56">#REF!</definedName>
    <definedName name="_PAG7">#REF!</definedName>
    <definedName name="_pro2001" localSheetId="64">[4]pro2001!$A$1:$B$72</definedName>
    <definedName name="_pro2001">[12]pro2001!$A$1:$B$72</definedName>
    <definedName name="_r13" localSheetId="64">[20]splatnosti!$V$39</definedName>
    <definedName name="_r13">[21]splatnosti!$V$39</definedName>
    <definedName name="_r14" localSheetId="64">[20]splatnosti!$V$40</definedName>
    <definedName name="_r14">[21]splatnosti!$V$40</definedName>
    <definedName name="_Regression_X" localSheetId="64" hidden="1">#REF!</definedName>
    <definedName name="_Regression_X" localSheetId="1" hidden="1">#REF!</definedName>
    <definedName name="_Regression_X" localSheetId="55" hidden="1">#REF!</definedName>
    <definedName name="_Regression_X" localSheetId="56" hidden="1">#REF!</definedName>
    <definedName name="_Regression_X" hidden="1">#REF!</definedName>
    <definedName name="_Regression_Y" localSheetId="64" hidden="1">#REF!</definedName>
    <definedName name="_Regression_Y" localSheetId="1" hidden="1">#REF!</definedName>
    <definedName name="_Regression_Y" localSheetId="55" hidden="1">#REF!</definedName>
    <definedName name="_Regression_Y" localSheetId="56" hidden="1">#REF!</definedName>
    <definedName name="_Regression_Y" hidden="1">#REF!</definedName>
    <definedName name="_RES2" localSheetId="64">[1]RES!#REF!</definedName>
    <definedName name="_RES2" localSheetId="1">[1]RES!#REF!</definedName>
    <definedName name="_RES2" localSheetId="56">[1]RES!#REF!</definedName>
    <definedName name="_RES2">[1]RES!#REF!</definedName>
    <definedName name="_RULC" localSheetId="64">[5]REER!$BA$144:$BA$206</definedName>
    <definedName name="_RULC" localSheetId="56">[6]REER!$BA$144:$BA$206</definedName>
    <definedName name="_RULC">[22]REER!$BA$144:$BA$206</definedName>
    <definedName name="_TAB1" localSheetId="64">#REF!</definedName>
    <definedName name="_TAB1" localSheetId="1">#REF!</definedName>
    <definedName name="_TAB1" localSheetId="56">#REF!</definedName>
    <definedName name="_TAB1">#REF!</definedName>
    <definedName name="_TAB10" localSheetId="64">#REF!</definedName>
    <definedName name="_TAB10" localSheetId="1">#REF!</definedName>
    <definedName name="_TAB10" localSheetId="56">#REF!</definedName>
    <definedName name="_TAB10">#REF!</definedName>
    <definedName name="_TAB12" localSheetId="64">#REF!</definedName>
    <definedName name="_TAB12" localSheetId="1">#REF!</definedName>
    <definedName name="_TAB12" localSheetId="56">#REF!</definedName>
    <definedName name="_TAB12">#REF!</definedName>
    <definedName name="_Tab19" localSheetId="64">#REF!</definedName>
    <definedName name="_Tab19" localSheetId="1">#REF!</definedName>
    <definedName name="_Tab19" localSheetId="56">#REF!</definedName>
    <definedName name="_Tab19">#REF!</definedName>
    <definedName name="_TAB2" localSheetId="64">#REF!</definedName>
    <definedName name="_TAB2" localSheetId="1">#REF!</definedName>
    <definedName name="_TAB2" localSheetId="56">#REF!</definedName>
    <definedName name="_TAB2">#REF!</definedName>
    <definedName name="_Tab20" localSheetId="64">#REF!</definedName>
    <definedName name="_Tab20" localSheetId="1">#REF!</definedName>
    <definedName name="_Tab20" localSheetId="56">#REF!</definedName>
    <definedName name="_Tab20">#REF!</definedName>
    <definedName name="_Tab21" localSheetId="64">#REF!</definedName>
    <definedName name="_Tab21" localSheetId="1">#REF!</definedName>
    <definedName name="_Tab21" localSheetId="56">#REF!</definedName>
    <definedName name="_Tab21">#REF!</definedName>
    <definedName name="_Tab22" localSheetId="64">#REF!</definedName>
    <definedName name="_Tab22" localSheetId="1">#REF!</definedName>
    <definedName name="_Tab22" localSheetId="56">#REF!</definedName>
    <definedName name="_Tab22">#REF!</definedName>
    <definedName name="_Tab23" localSheetId="64">#REF!</definedName>
    <definedName name="_Tab23" localSheetId="1">#REF!</definedName>
    <definedName name="_Tab23" localSheetId="56">#REF!</definedName>
    <definedName name="_Tab23">#REF!</definedName>
    <definedName name="_Tab24" localSheetId="64">#REF!</definedName>
    <definedName name="_Tab24" localSheetId="1">#REF!</definedName>
    <definedName name="_Tab24" localSheetId="56">#REF!</definedName>
    <definedName name="_Tab24">#REF!</definedName>
    <definedName name="_Tab26" localSheetId="64">#REF!</definedName>
    <definedName name="_Tab26" localSheetId="1">#REF!</definedName>
    <definedName name="_Tab26" localSheetId="56">#REF!</definedName>
    <definedName name="_Tab26">#REF!</definedName>
    <definedName name="_Tab27" localSheetId="64">#REF!</definedName>
    <definedName name="_Tab27" localSheetId="1">#REF!</definedName>
    <definedName name="_Tab27" localSheetId="56">#REF!</definedName>
    <definedName name="_Tab27">#REF!</definedName>
    <definedName name="_Tab28" localSheetId="64">#REF!</definedName>
    <definedName name="_Tab28" localSheetId="1">#REF!</definedName>
    <definedName name="_Tab28" localSheetId="56">#REF!</definedName>
    <definedName name="_Tab28">#REF!</definedName>
    <definedName name="_Tab29" localSheetId="64">#REF!</definedName>
    <definedName name="_Tab29" localSheetId="1">#REF!</definedName>
    <definedName name="_Tab29" localSheetId="56">#REF!</definedName>
    <definedName name="_Tab29">#REF!</definedName>
    <definedName name="_TAB3" localSheetId="64">#REF!</definedName>
    <definedName name="_TAB3" localSheetId="1">#REF!</definedName>
    <definedName name="_TAB3" localSheetId="56">#REF!</definedName>
    <definedName name="_TAB3">#REF!</definedName>
    <definedName name="_Tab30" localSheetId="64">#REF!</definedName>
    <definedName name="_Tab30" localSheetId="1">#REF!</definedName>
    <definedName name="_Tab30" localSheetId="56">#REF!</definedName>
    <definedName name="_Tab30">#REF!</definedName>
    <definedName name="_Tab31" localSheetId="64">#REF!</definedName>
    <definedName name="_Tab31" localSheetId="1">#REF!</definedName>
    <definedName name="_Tab31" localSheetId="56">#REF!</definedName>
    <definedName name="_Tab31">#REF!</definedName>
    <definedName name="_Tab32" localSheetId="64">#REF!</definedName>
    <definedName name="_Tab32" localSheetId="1">#REF!</definedName>
    <definedName name="_Tab32" localSheetId="56">#REF!</definedName>
    <definedName name="_Tab32">#REF!</definedName>
    <definedName name="_Tab33" localSheetId="64">#REF!</definedName>
    <definedName name="_Tab33" localSheetId="1">#REF!</definedName>
    <definedName name="_Tab33" localSheetId="56">#REF!</definedName>
    <definedName name="_Tab33">#REF!</definedName>
    <definedName name="_Tab34" localSheetId="64">#REF!</definedName>
    <definedName name="_Tab34" localSheetId="1">#REF!</definedName>
    <definedName name="_Tab34" localSheetId="56">#REF!</definedName>
    <definedName name="_Tab34">#REF!</definedName>
    <definedName name="_Tab35" localSheetId="64">#REF!</definedName>
    <definedName name="_Tab35" localSheetId="1">#REF!</definedName>
    <definedName name="_Tab35" localSheetId="56">#REF!</definedName>
    <definedName name="_Tab35">#REF!</definedName>
    <definedName name="_TAB4" localSheetId="64">#REF!</definedName>
    <definedName name="_TAB4" localSheetId="1">#REF!</definedName>
    <definedName name="_TAB4" localSheetId="56">#REF!</definedName>
    <definedName name="_TAB4">#REF!</definedName>
    <definedName name="_TAB5" localSheetId="64">#REF!</definedName>
    <definedName name="_TAB5" localSheetId="1">#REF!</definedName>
    <definedName name="_TAB5" localSheetId="56">#REF!</definedName>
    <definedName name="_TAB5">#REF!</definedName>
    <definedName name="_tab6" localSheetId="64">#REF!</definedName>
    <definedName name="_tab6" localSheetId="1">#REF!</definedName>
    <definedName name="_tab6" localSheetId="56">#REF!</definedName>
    <definedName name="_tab6">#REF!</definedName>
    <definedName name="_TAB7" localSheetId="64">#REF!</definedName>
    <definedName name="_TAB7" localSheetId="1">#REF!</definedName>
    <definedName name="_TAB7" localSheetId="56">#REF!</definedName>
    <definedName name="_TAB7">#REF!</definedName>
    <definedName name="_TAB8" localSheetId="64">#REF!</definedName>
    <definedName name="_TAB8" localSheetId="1">#REF!</definedName>
    <definedName name="_TAB8" localSheetId="56">#REF!</definedName>
    <definedName name="_TAB8">#REF!</definedName>
    <definedName name="_tab9" localSheetId="64">#REF!</definedName>
    <definedName name="_tab9" localSheetId="1">#REF!</definedName>
    <definedName name="_tab9" localSheetId="56">#REF!</definedName>
    <definedName name="_tab9">#REF!</definedName>
    <definedName name="_TB41" localSheetId="64">#REF!</definedName>
    <definedName name="_TB41" localSheetId="1">#REF!</definedName>
    <definedName name="_TB41" localSheetId="56">#REF!</definedName>
    <definedName name="_TB41">#REF!</definedName>
    <definedName name="_Toc416885924" localSheetId="42">'Tab 23 '!#REF!</definedName>
    <definedName name="_Toc416885925" localSheetId="42">'Tab 23 '!#REF!</definedName>
    <definedName name="_Toc416885926" localSheetId="43">'Tab 24 '!#REF!</definedName>
    <definedName name="_Toc416885927" localSheetId="45">'Tab 26 '!#REF!</definedName>
    <definedName name="_Toc416885929" localSheetId="46">'Tab 27 '!#REF!</definedName>
    <definedName name="_Toc416944006" localSheetId="5">'Grafy 7 a 8'!$E$3</definedName>
    <definedName name="_Toc416944007" localSheetId="6">'Graf 8,9,10 '!#REF!</definedName>
    <definedName name="_Toc416944008" localSheetId="6">'Graf 8,9,10 '!$E$3</definedName>
    <definedName name="_Toc416944014" localSheetId="13">'Graf 16 + 17 '!$B$4</definedName>
    <definedName name="_Toc416944015" localSheetId="13">'Graf 16 + 17 '!$E$4</definedName>
    <definedName name="_Toc416944017" localSheetId="14">'Graf 18 + Tab 6'!$B$4</definedName>
    <definedName name="_Toc416944019" localSheetId="15">'Graf 19 + Tab 7'!$B$4</definedName>
    <definedName name="_Toc416944019" localSheetId="17">'Graf 21  + Tab 9 '!$B$4</definedName>
    <definedName name="_Toc416944024" localSheetId="17">'Graf 21  + Tab 9 '!$B$4</definedName>
    <definedName name="_Toc416944025" localSheetId="17">'Graf 21  + Tab 9 '!$D$4</definedName>
    <definedName name="_Toc416944027" localSheetId="18">'Tab 10'!#REF!</definedName>
    <definedName name="_Toc416944033" localSheetId="21">'Graf 24'!$B$2</definedName>
    <definedName name="_Toc416944045" localSheetId="31">'Graf 28 + 29 '!$A$4</definedName>
    <definedName name="_Toc416944046" localSheetId="31">'Graf 28 + 29 '!$C$4</definedName>
    <definedName name="_Toc417907480" localSheetId="41">'Graf 36 '!$A$3</definedName>
    <definedName name="_Toc432509118" localSheetId="62">'Graf 56'!#REF!</definedName>
    <definedName name="_Toc432509118" localSheetId="61">'Tab 32'!$B$1</definedName>
    <definedName name="_Toc449429151" localSheetId="33">'Graf 30 + 31; tab 19'!#REF!</definedName>
    <definedName name="_Toc449430145" localSheetId="25">'Tab 12'!$A$4</definedName>
    <definedName name="_Toc449430150" localSheetId="27">'Tab 14 '!$A$4</definedName>
    <definedName name="_Toc449430152" localSheetId="29">'Tab 16 '!$A$3</definedName>
    <definedName name="_Toc449430180" localSheetId="49">'Tab 30'!$A$4</definedName>
    <definedName name="_Toc449430181" localSheetId="50">'Tab 31'!$A$3</definedName>
    <definedName name="_Toc463861269" localSheetId="55">'Graf 44 + 45'!$N$2</definedName>
    <definedName name="_Toc463861271" localSheetId="58">'Graf 50 + 51'!$B$20</definedName>
    <definedName name="_Toc463861280" localSheetId="60">'Graf 54 +55'!#REF!</definedName>
    <definedName name="_Toc463861281" localSheetId="60">'Graf 54 +55'!#REF!</definedName>
    <definedName name="_Toc477358256" localSheetId="63">'Graf 57 + 58 + 59'!$A$3</definedName>
    <definedName name="_Toc480444043" localSheetId="47">'Tab 28 + 29'!$B$3</definedName>
    <definedName name="_Toc480444044" localSheetId="47">'Tab 28 + 29'!$B$11</definedName>
    <definedName name="_Toc480457388" localSheetId="24">'Tab 11'!$B$2</definedName>
    <definedName name="_Toc480457470" localSheetId="40">'Graf  35 '!$O$7</definedName>
    <definedName name="_Toc480457491" localSheetId="62">'Graf 56'!#REF!</definedName>
    <definedName name="_Toc480533165" localSheetId="33">'Graf 30 + 31; tab 19'!$Q$3</definedName>
    <definedName name="_Toc480533168" localSheetId="38">'Tab 22'!$B$2</definedName>
    <definedName name="_Toc480577913" localSheetId="22">'Graf 25 + 26'!$B$2</definedName>
    <definedName name="_Toc480577914" localSheetId="22">'Graf 25 + 26'!$B$27</definedName>
    <definedName name="_Toc480577936" localSheetId="57">'Graf 48 + 49'!$B$2</definedName>
    <definedName name="_Toc480577940" localSheetId="59">'Graf 52 + 53'!$B$17</definedName>
    <definedName name="_Toc480577941" localSheetId="59">'Graf 52 + 53'!$P$17</definedName>
    <definedName name="_Toc480905490" localSheetId="63">'Graf 57 + 58 + 59'!$A$28</definedName>
    <definedName name="_WEO1" localSheetId="64">#REF!</definedName>
    <definedName name="_WEO1" localSheetId="1">#REF!</definedName>
    <definedName name="_WEO1" localSheetId="56">#REF!</definedName>
    <definedName name="_WEO1">#REF!</definedName>
    <definedName name="_WEO2" localSheetId="64">#REF!</definedName>
    <definedName name="_WEO2" localSheetId="1">#REF!</definedName>
    <definedName name="_WEO2" localSheetId="56">#REF!</definedName>
    <definedName name="_WEO2">#REF!</definedName>
    <definedName name="a" localSheetId="64">#REF!</definedName>
    <definedName name="a" hidden="1">[22]REER!$AZ$144:$AZ$210</definedName>
    <definedName name="aaa" localSheetId="1" hidden="1">'[10]i2-KA'!#REF!</definedName>
    <definedName name="aaa" hidden="1">'[10]i2-KA'!#REF!</definedName>
    <definedName name="aaaaaaaaaaaaaa" localSheetId="64">#N/A</definedName>
    <definedName name="aaaaaaaaaaaaaa" localSheetId="56">'Graf 46 + 47'!aaaaaaaaaaaaaa</definedName>
    <definedName name="aaaaaaaaaaaaaa">[23]!aaaaaaaaaaaaaa</definedName>
    <definedName name="aas" localSheetId="64">[24]Contents!$A$1:$C$25</definedName>
    <definedName name="aas" localSheetId="56">[25]Contents!$A$1:$C$25</definedName>
    <definedName name="aas">[26]Contents!$A$1:$C$25</definedName>
    <definedName name="aloha" localSheetId="64" hidden="1">'[27]i2-KA'!#REF!</definedName>
    <definedName name="aloha" localSheetId="1" hidden="1">'[27]i2-KA'!#REF!</definedName>
    <definedName name="aloha" localSheetId="55" hidden="1">'[27]i2-KA'!#REF!</definedName>
    <definedName name="aloha" localSheetId="56" hidden="1">'[27]i2-KA'!#REF!</definedName>
    <definedName name="aloha" hidden="1">'[27]i2-KA'!#REF!</definedName>
    <definedName name="ANNUALNOM" localSheetId="64">#REF!</definedName>
    <definedName name="ANNUALNOM" localSheetId="1">#REF!</definedName>
    <definedName name="ANNUALNOM">#REF!</definedName>
    <definedName name="as" localSheetId="64">'[24]i-REER'!$A$2:$F$104</definedName>
    <definedName name="as" localSheetId="56">'[25]i-REER'!$A$2:$F$104</definedName>
    <definedName name="as">'[26]i-REER'!$A$2:$F$104</definedName>
    <definedName name="ASSUM" localSheetId="64">#REF!</definedName>
    <definedName name="ASSUM" localSheetId="1">#REF!</definedName>
    <definedName name="ASSUM">#REF!</definedName>
    <definedName name="ASSUMB" localSheetId="64">#REF!</definedName>
    <definedName name="ASSUMB" localSheetId="1">#REF!</definedName>
    <definedName name="ASSUMB">#REF!</definedName>
    <definedName name="atrade" localSheetId="64">[19]!atrade</definedName>
    <definedName name="atrade" localSheetId="1">[19]!atrade</definedName>
    <definedName name="atrade" localSheetId="56">[19]!atrade</definedName>
    <definedName name="atrade">[19]!atrade</definedName>
    <definedName name="b" localSheetId="64">#REF!</definedName>
    <definedName name="b" localSheetId="1">#REF!</definedName>
    <definedName name="b">#REF!</definedName>
    <definedName name="BAKLANBOPB" localSheetId="64">#REF!</definedName>
    <definedName name="BAKLANBOPB" localSheetId="1">#REF!</definedName>
    <definedName name="BAKLANBOPB">#REF!</definedName>
    <definedName name="BAKLANDEBT2B" localSheetId="64">#REF!</definedName>
    <definedName name="BAKLANDEBT2B" localSheetId="1">#REF!</definedName>
    <definedName name="BAKLANDEBT2B">#REF!</definedName>
    <definedName name="BAKLDEBT1B" localSheetId="64">#REF!</definedName>
    <definedName name="BAKLDEBT1B" localSheetId="1">#REF!</definedName>
    <definedName name="BAKLDEBT1B">#REF!</definedName>
    <definedName name="BASDAT" localSheetId="64">'[3]Annual Tables'!#REF!</definedName>
    <definedName name="BASDAT" localSheetId="1">'[3]Annual Tables'!#REF!</definedName>
    <definedName name="BASDAT" localSheetId="56">'[3]Annual Tables'!#REF!</definedName>
    <definedName name="BASDAT">'[3]Annual Tables'!#REF!</definedName>
    <definedName name="bb" localSheetId="64" hidden="1">{"Riqfin97",#N/A,FALSE,"Tran";"Riqfinpro",#N/A,FALSE,"Tran"}</definedName>
    <definedName name="bb" localSheetId="55" hidden="1">{"Riqfin97",#N/A,FALSE,"Tran";"Riqfinpro",#N/A,FALSE,"Tran"}</definedName>
    <definedName name="bb" localSheetId="56" hidden="1">{"Riqfin97",#N/A,FALSE,"Tran";"Riqfinpro",#N/A,FALSE,"Tran"}</definedName>
    <definedName name="bb" hidden="1">{"Riqfin97",#N/A,FALSE,"Tran";"Riqfinpro",#N/A,FALSE,"Tran"}</definedName>
    <definedName name="bbb" localSheetId="64" hidden="1">{"Riqfin97",#N/A,FALSE,"Tran";"Riqfinpro",#N/A,FALSE,"Tran"}</definedName>
    <definedName name="bbb" localSheetId="55" hidden="1">{"Riqfin97",#N/A,FALSE,"Tran";"Riqfinpro",#N/A,FALSE,"Tran"}</definedName>
    <definedName name="bbb" localSheetId="56" hidden="1">{"Riqfin97",#N/A,FALSE,"Tran";"Riqfinpro",#N/A,FALSE,"Tran"}</definedName>
    <definedName name="bbb" hidden="1">{"Riqfin97",#N/A,FALSE,"Tran";"Riqfinpro",#N/A,FALSE,"Tran"}</definedName>
    <definedName name="bbbbbbbbbbbbbb" localSheetId="64">#N/A</definedName>
    <definedName name="bbbbbbbbbbbbbb" localSheetId="56">'Graf 46 + 47'!bbbbbbbbbbbbbb</definedName>
    <definedName name="bbbbbbbbbbbbbb">[23]!bbbbbbbbbbbbbb</definedName>
    <definedName name="BCA">#N/A</definedName>
    <definedName name="BCA_GDP">#N/A</definedName>
    <definedName name="BE">#N/A</definedName>
    <definedName name="BEA" localSheetId="64">'[28]WEO-BOP'!#REF!</definedName>
    <definedName name="BEA" localSheetId="1">'[28]WEO-BOP'!#REF!</definedName>
    <definedName name="BEA" localSheetId="56">'[28]WEO-BOP'!#REF!</definedName>
    <definedName name="BEA">'[28]WEO-BOP'!#REF!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64">#REF!</definedName>
    <definedName name="BEDE" localSheetId="1">#REF!</definedName>
    <definedName name="BEDE">#REF!</definedName>
    <definedName name="BER" localSheetId="64">'[28]WEO-BOP'!#REF!</definedName>
    <definedName name="BER" localSheetId="1">'[28]WEO-BOP'!#REF!</definedName>
    <definedName name="BER" localSheetId="56">'[28]WEO-BOP'!#REF!</definedName>
    <definedName name="BER">'[28]WEO-BOP'!#REF!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64">'[28]WEO-BOP'!#REF!</definedName>
    <definedName name="BFD" localSheetId="1">'[28]WEO-BOP'!#REF!</definedName>
    <definedName name="BFD" localSheetId="56">'[28]WEO-BOP'!#REF!</definedName>
    <definedName name="BFD">'[28]WEO-BOP'!#REF!</definedName>
    <definedName name="BFDI" localSheetId="64">'[28]WEO-BOP'!#REF!</definedName>
    <definedName name="BFDI" localSheetId="1">'[28]WEO-BOP'!#REF!</definedName>
    <definedName name="BFDI" localSheetId="56">'[28]WEO-BOP'!#REF!</definedName>
    <definedName name="BFDI">'[28]WEO-BOP'!#REF!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64">#N/A</definedName>
    <definedName name="BFLD_DF" localSheetId="56">'Graf 46 + 47'!BFLD_DF</definedName>
    <definedName name="BFLD_DF">[23]!BFLD_DF</definedName>
    <definedName name="BFLG">#N/A</definedName>
    <definedName name="BFLG_D">#N/A</definedName>
    <definedName name="BFLG_DF">#N/A</definedName>
    <definedName name="BFO" localSheetId="64">'[28]WEO-BOP'!#REF!</definedName>
    <definedName name="BFO" localSheetId="1">'[28]WEO-BOP'!#REF!</definedName>
    <definedName name="BFO" localSheetId="56">'[28]WEO-BOP'!#REF!</definedName>
    <definedName name="BFO">'[28]WEO-BOP'!#REF!</definedName>
    <definedName name="BFOA" localSheetId="64">'[28]WEO-BOP'!#REF!</definedName>
    <definedName name="BFOA" localSheetId="1">'[28]WEO-BOP'!#REF!</definedName>
    <definedName name="BFOA" localSheetId="56">'[28]WEO-BOP'!#REF!</definedName>
    <definedName name="BFOA">'[28]WEO-BOP'!#REF!</definedName>
    <definedName name="BFOAG" localSheetId="64">'[28]WEO-BOP'!#REF!</definedName>
    <definedName name="BFOAG" localSheetId="1">'[28]WEO-BOP'!#REF!</definedName>
    <definedName name="BFOAG" localSheetId="56">'[28]WEO-BOP'!#REF!</definedName>
    <definedName name="BFOAG">'[28]WEO-BOP'!#REF!</definedName>
    <definedName name="BFOG" localSheetId="64">'[28]WEO-BOP'!#REF!</definedName>
    <definedName name="BFOG" localSheetId="1">'[28]WEO-BOP'!#REF!</definedName>
    <definedName name="BFOG" localSheetId="56">'[28]WEO-BOP'!#REF!</definedName>
    <definedName name="BFOG">'[28]WEO-BOP'!#REF!</definedName>
    <definedName name="BFOL" localSheetId="64">'[28]WEO-BOP'!#REF!</definedName>
    <definedName name="BFOL" localSheetId="1">'[28]WEO-BOP'!#REF!</definedName>
    <definedName name="BFOL" localSheetId="56">'[28]WEO-BOP'!#REF!</definedName>
    <definedName name="BFOL">'[28]WEO-BOP'!#REF!</definedName>
    <definedName name="BFOL_B" localSheetId="64">'[28]WEO-BOP'!#REF!</definedName>
    <definedName name="BFOL_B" localSheetId="1">'[28]WEO-BOP'!#REF!</definedName>
    <definedName name="BFOL_B" localSheetId="56">'[28]WEO-BOP'!#REF!</definedName>
    <definedName name="BFOL_B">'[28]WEO-BOP'!#REF!</definedName>
    <definedName name="BFOL_G" localSheetId="64">'[28]WEO-BOP'!#REF!</definedName>
    <definedName name="BFOL_G" localSheetId="1">'[28]WEO-BOP'!#REF!</definedName>
    <definedName name="BFOL_G" localSheetId="56">'[28]WEO-BOP'!#REF!</definedName>
    <definedName name="BFOL_G">'[28]WEO-BOP'!#REF!</definedName>
    <definedName name="BFOLG" localSheetId="64">'[28]WEO-BOP'!#REF!</definedName>
    <definedName name="BFOLG" localSheetId="1">'[28]WEO-BOP'!#REF!</definedName>
    <definedName name="BFOLG" localSheetId="56">'[28]WEO-BOP'!#REF!</definedName>
    <definedName name="BFOLG">'[28]WEO-BOP'!#REF!</definedName>
    <definedName name="BFP" localSheetId="64">'[28]WEO-BOP'!#REF!</definedName>
    <definedName name="BFP" localSheetId="1">'[28]WEO-BOP'!#REF!</definedName>
    <definedName name="BFP" localSheetId="56">'[28]WEO-BOP'!#REF!</definedName>
    <definedName name="BFP">'[28]WEO-BOP'!#REF!</definedName>
    <definedName name="BFPA" localSheetId="64">'[28]WEO-BOP'!#REF!</definedName>
    <definedName name="BFPA" localSheetId="1">'[28]WEO-BOP'!#REF!</definedName>
    <definedName name="BFPA" localSheetId="56">'[28]WEO-BOP'!#REF!</definedName>
    <definedName name="BFPA">'[28]WEO-BOP'!#REF!</definedName>
    <definedName name="BFPAG" localSheetId="64">'[28]WEO-BOP'!#REF!</definedName>
    <definedName name="BFPAG" localSheetId="1">'[28]WEO-BOP'!#REF!</definedName>
    <definedName name="BFPAG" localSheetId="56">'[28]WEO-BOP'!#REF!</definedName>
    <definedName name="BFPAG">'[28]WEO-BOP'!#REF!</definedName>
    <definedName name="BFPG" localSheetId="64">'[28]WEO-BOP'!#REF!</definedName>
    <definedName name="BFPG" localSheetId="1">'[28]WEO-BOP'!#REF!</definedName>
    <definedName name="BFPG" localSheetId="56">'[28]WEO-BOP'!#REF!</definedName>
    <definedName name="BFPG">'[28]WEO-BOP'!#REF!</definedName>
    <definedName name="BFPL" localSheetId="64">'[28]WEO-BOP'!#REF!</definedName>
    <definedName name="BFPL" localSheetId="1">'[28]WEO-BOP'!#REF!</definedName>
    <definedName name="BFPL" localSheetId="56">'[28]WEO-BOP'!#REF!</definedName>
    <definedName name="BFPL">'[28]WEO-BOP'!#REF!</definedName>
    <definedName name="BFPLD" localSheetId="64">'[28]WEO-BOP'!#REF!</definedName>
    <definedName name="BFPLD" localSheetId="1">'[28]WEO-BOP'!#REF!</definedName>
    <definedName name="BFPLD" localSheetId="56">'[28]WEO-BOP'!#REF!</definedName>
    <definedName name="BFPLD">'[28]WEO-BOP'!#REF!</definedName>
    <definedName name="BFPLDG" localSheetId="64">'[28]WEO-BOP'!#REF!</definedName>
    <definedName name="BFPLDG" localSheetId="1">'[28]WEO-BOP'!#REF!</definedName>
    <definedName name="BFPLDG" localSheetId="56">'[28]WEO-BOP'!#REF!</definedName>
    <definedName name="BFPLDG">'[28]WEO-BOP'!#REF!</definedName>
    <definedName name="BFPLE" localSheetId="64">'[28]WEO-BOP'!#REF!</definedName>
    <definedName name="BFPLE" localSheetId="1">'[28]WEO-BOP'!#REF!</definedName>
    <definedName name="BFPLE" localSheetId="56">'[28]WEO-BOP'!#REF!</definedName>
    <definedName name="BFPLE">'[28]WEO-BOP'!#REF!</definedName>
    <definedName name="BFRA">#N/A</definedName>
    <definedName name="BGS" localSheetId="64">'[28]WEO-BOP'!#REF!</definedName>
    <definedName name="BGS" localSheetId="1">'[28]WEO-BOP'!#REF!</definedName>
    <definedName name="BGS" localSheetId="56">'[28]WEO-BOP'!#REF!</definedName>
    <definedName name="BGS">'[28]WEO-BOP'!#REF!</definedName>
    <definedName name="BI">#N/A</definedName>
    <definedName name="BID" localSheetId="64">'[28]WEO-BOP'!#REF!</definedName>
    <definedName name="BID" localSheetId="1">'[28]WEO-BOP'!#REF!</definedName>
    <definedName name="BID" localSheetId="56">'[28]WEO-BOP'!#REF!</definedName>
    <definedName name="BID">'[28]WEO-BOP'!#REF!</definedName>
    <definedName name="BK">#N/A</definedName>
    <definedName name="BKF">#N/A</definedName>
    <definedName name="BMG">[29]Q6!$E$28:$AH$28</definedName>
    <definedName name="BMII">#N/A</definedName>
    <definedName name="BMIIB">#N/A</definedName>
    <definedName name="BMIIG">#N/A</definedName>
    <definedName name="BMS" localSheetId="64">'[28]WEO-BOP'!#REF!</definedName>
    <definedName name="BMS" localSheetId="1">'[28]WEO-BOP'!#REF!</definedName>
    <definedName name="BMS" localSheetId="56">'[28]WEO-BOP'!#REF!</definedName>
    <definedName name="BMS">'[28]WEO-BOP'!#REF!</definedName>
    <definedName name="Bolivia" localSheetId="64">#REF!</definedName>
    <definedName name="Bolivia" localSheetId="1">#REF!</definedName>
    <definedName name="Bolivia">#REF!</definedName>
    <definedName name="BOP">#N/A</definedName>
    <definedName name="BOPB" localSheetId="64">#REF!</definedName>
    <definedName name="BOPB" localSheetId="1">#REF!</definedName>
    <definedName name="BOPB">#REF!</definedName>
    <definedName name="BOPMEMOB" localSheetId="64">#REF!</definedName>
    <definedName name="BOPMEMOB" localSheetId="1">#REF!</definedName>
    <definedName name="BOPMEMOB">#REF!</definedName>
    <definedName name="bracket_2" localSheetId="64">[30]Graf14_Graf15!#REF!</definedName>
    <definedName name="bracket_2">[30]Graf14_Graf15!#REF!</definedName>
    <definedName name="BRASS" localSheetId="64">'[28]WEO-BOP'!#REF!</definedName>
    <definedName name="BRASS" localSheetId="1">'[28]WEO-BOP'!#REF!</definedName>
    <definedName name="BRASS" localSheetId="56">'[28]WEO-BOP'!#REF!</definedName>
    <definedName name="BRASS">'[28]WEO-BOP'!#REF!</definedName>
    <definedName name="Brazil" localSheetId="64">#REF!</definedName>
    <definedName name="Brazil" localSheetId="1">#REF!</definedName>
    <definedName name="Brazil">#REF!</definedName>
    <definedName name="BTR" localSheetId="64">'[28]WEO-BOP'!#REF!</definedName>
    <definedName name="BTR" localSheetId="1">'[28]WEO-BOP'!#REF!</definedName>
    <definedName name="BTR" localSheetId="56">'[28]WEO-BOP'!#REF!</definedName>
    <definedName name="BTR">'[28]WEO-BOP'!#REF!</definedName>
    <definedName name="BTRG" localSheetId="64">'[28]WEO-BOP'!#REF!</definedName>
    <definedName name="BTRG" localSheetId="1">'[28]WEO-BOP'!#REF!</definedName>
    <definedName name="BTRG" localSheetId="56">'[28]WEO-BOP'!#REF!</definedName>
    <definedName name="BTRG">'[28]WEO-BOP'!#REF!</definedName>
    <definedName name="BUDGET" localSheetId="64">#REF!</definedName>
    <definedName name="BUDGET" localSheetId="1">#REF!</definedName>
    <definedName name="BUDGET">#REF!</definedName>
    <definedName name="Budget_expenditure" localSheetId="64">#REF!</definedName>
    <definedName name="Budget_expenditure" localSheetId="1">#REF!</definedName>
    <definedName name="Budget_expenditure">#REF!</definedName>
    <definedName name="Budget_revenue" localSheetId="64">#REF!</definedName>
    <definedName name="Budget_revenue" localSheetId="1">#REF!</definedName>
    <definedName name="Budget_revenue">#REF!</definedName>
    <definedName name="BXG">[29]Q6!$E$26:$AH$26</definedName>
    <definedName name="BXS" localSheetId="64">'[28]WEO-BOP'!#REF!</definedName>
    <definedName name="BXS" localSheetId="1">'[28]WEO-BOP'!#REF!</definedName>
    <definedName name="BXS" localSheetId="56">'[28]WEO-BOP'!#REF!</definedName>
    <definedName name="BXS">'[28]WEO-BOP'!#REF!</definedName>
    <definedName name="BXTSAq" localSheetId="64">#REF!</definedName>
    <definedName name="BXTSAq" localSheetId="1">#REF!</definedName>
    <definedName name="BXTSAq" localSheetId="56">#REF!</definedName>
    <definedName name="BXTSAq">#REF!</definedName>
    <definedName name="CalcMCV_4" localSheetId="64">#REF!</definedName>
    <definedName name="CalcMCV_4" localSheetId="1">#REF!</definedName>
    <definedName name="CalcMCV_4" localSheetId="56">#REF!</definedName>
    <definedName name="CalcMCV_4">#REF!</definedName>
    <definedName name="calcNGS_NGDP">#N/A</definedName>
    <definedName name="CAPACCB" localSheetId="64">#REF!</definedName>
    <definedName name="CAPACCB" localSheetId="1">#REF!</definedName>
    <definedName name="CAPACCB">#REF!</definedName>
    <definedName name="cc" localSheetId="64" hidden="1">{"Riqfin97",#N/A,FALSE,"Tran";"Riqfinpro",#N/A,FALSE,"Tran"}</definedName>
    <definedName name="cc" localSheetId="55" hidden="1">{"Riqfin97",#N/A,FALSE,"Tran";"Riqfinpro",#N/A,FALSE,"Tran"}</definedName>
    <definedName name="cc" localSheetId="56" hidden="1">{"Riqfin97",#N/A,FALSE,"Tran";"Riqfinpro",#N/A,FALSE,"Tran"}</definedName>
    <definedName name="cc" hidden="1">{"Riqfin97",#N/A,FALSE,"Tran";"Riqfinpro",#N/A,FALSE,"Tran"}</definedName>
    <definedName name="ccc" localSheetId="64" hidden="1">{"Riqfin97",#N/A,FALSE,"Tran";"Riqfinpro",#N/A,FALSE,"Tran"}</definedName>
    <definedName name="ccc" localSheetId="55" hidden="1">{"Riqfin97",#N/A,FALSE,"Tran";"Riqfinpro",#N/A,FALSE,"Tran"}</definedName>
    <definedName name="ccc" localSheetId="56" hidden="1">{"Riqfin97",#N/A,FALSE,"Tran";"Riqfinpro",#N/A,FALSE,"Tran"}</definedName>
    <definedName name="ccc" hidden="1">{"Riqfin97",#N/A,FALSE,"Tran";"Riqfinpro",#N/A,FALSE,"Tran"}</definedName>
    <definedName name="CCODE" localSheetId="64">#REF!</definedName>
    <definedName name="CCODE" localSheetId="1">#REF!</definedName>
    <definedName name="CCODE">#REF!</definedName>
    <definedName name="cgb" localSheetId="64">#REF!</definedName>
    <definedName name="cgb" localSheetId="1">#REF!</definedName>
    <definedName name="cgb" localSheetId="56">#REF!</definedName>
    <definedName name="cgb">#REF!</definedName>
    <definedName name="cge" localSheetId="64">#REF!</definedName>
    <definedName name="cge" localSheetId="1">#REF!</definedName>
    <definedName name="cge" localSheetId="56">#REF!</definedName>
    <definedName name="cge">#REF!</definedName>
    <definedName name="cgr" localSheetId="64">#REF!</definedName>
    <definedName name="cgr" localSheetId="1">#REF!</definedName>
    <definedName name="cgr" localSheetId="56">#REF!</definedName>
    <definedName name="cgr">#REF!</definedName>
    <definedName name="CONCK" localSheetId="64">#REF!</definedName>
    <definedName name="CONCK" localSheetId="1">#REF!</definedName>
    <definedName name="CONCK">#REF!</definedName>
    <definedName name="Cons" localSheetId="64">#REF!</definedName>
    <definedName name="Cons" localSheetId="1">#REF!</definedName>
    <definedName name="Cons">#REF!</definedName>
    <definedName name="CORULCSA" localSheetId="64">[31]E!$V$15:$V$98</definedName>
    <definedName name="CORULCSA" localSheetId="56">[32]E!$V$15:$V$98</definedName>
    <definedName name="CORULCSA">[33]E!$V$15:$V$98</definedName>
    <definedName name="CountryCode">[34]readme!$B$2</definedName>
    <definedName name="CurrVintage">[35]Current!$D$66</definedName>
    <definedName name="d" localSheetId="64">"Graf 5"</definedName>
    <definedName name="d" localSheetId="56">"Graf 5"</definedName>
    <definedName name="d" hidden="1">{"Riqfin97",#N/A,FALSE,"Tran";"Riqfinpro",#N/A,FALSE,"Tran"}</definedName>
    <definedName name="DABproj">#N/A</definedName>
    <definedName name="DAGproj">#N/A</definedName>
    <definedName name="daily_interest_rates" localSheetId="64">'[36]daily calculations'!#REF!</definedName>
    <definedName name="daily_interest_rates" localSheetId="1">'[37]daily calculations'!#REF!</definedName>
    <definedName name="daily_interest_rates" localSheetId="56">'[38]daily calculations'!#REF!</definedName>
    <definedName name="daily_interest_rates">'[37]daily calculations'!#REF!</definedName>
    <definedName name="DAproj">#N/A</definedName>
    <definedName name="das" localSheetId="1" hidden="1">[8]G!#REF!</definedName>
    <definedName name="das" localSheetId="55" hidden="1">[8]G!#REF!</definedName>
    <definedName name="das" localSheetId="56" hidden="1">[8]G!#REF!</definedName>
    <definedName name="das" hidden="1">[8]G!#REF!</definedName>
    <definedName name="DASD">#N/A</definedName>
    <definedName name="DASDB">#N/A</definedName>
    <definedName name="DASDG">#N/A</definedName>
    <definedName name="data_area" localSheetId="64">#REF!</definedName>
    <definedName name="data_area" localSheetId="1">#REF!</definedName>
    <definedName name="data_area" localSheetId="56">#REF!</definedName>
    <definedName name="data_area">#REF!</definedName>
    <definedName name="_xlnm.Database" localSheetId="64">#REF!</definedName>
    <definedName name="_xlnm.Database" localSheetId="1">#REF!</definedName>
    <definedName name="_xlnm.Database">#REF!</definedName>
    <definedName name="DATB" localSheetId="64">[5]REER!$B$144:$B$240</definedName>
    <definedName name="DATB" localSheetId="56">[6]REER!$B$144:$B$240</definedName>
    <definedName name="DATB">[22]REER!$B$144:$B$240</definedName>
    <definedName name="datcr" localSheetId="64">'[2]Tab ann curr'!#REF!</definedName>
    <definedName name="datcr" localSheetId="1">'[2]Tab ann curr'!#REF!</definedName>
    <definedName name="datcr" localSheetId="56">'[2]Tab ann curr'!#REF!</definedName>
    <definedName name="datcr">'[2]Tab ann curr'!#REF!</definedName>
    <definedName name="date" localSheetId="64">#REF!</definedName>
    <definedName name="date" localSheetId="1">#REF!</definedName>
    <definedName name="date">#REF!</definedName>
    <definedName name="date_EXP">[39]Sheet1!$B$1:$G$1</definedName>
    <definedName name="date_FISC" localSheetId="64">#REF!</definedName>
    <definedName name="date_FISC" localSheetId="1">#REF!</definedName>
    <definedName name="date_FISC">#REF!</definedName>
    <definedName name="dateIntLiq" localSheetId="64">#REF!</definedName>
    <definedName name="dateIntLiq" localSheetId="1">#REF!</definedName>
    <definedName name="dateIntLiq" localSheetId="56">#REF!</definedName>
    <definedName name="dateIntLiq">#REF!</definedName>
    <definedName name="dateMoney" localSheetId="64">#REF!</definedName>
    <definedName name="dateMoney" localSheetId="1">#REF!</definedName>
    <definedName name="dateMoney">#REF!</definedName>
    <definedName name="dateprofit" localSheetId="64">[5]C!$A$9:$A$125</definedName>
    <definedName name="dateprofit" localSheetId="56">[6]C!$A$9:$A$125</definedName>
    <definedName name="dateprofit">[22]C!$A$9:$A$125</definedName>
    <definedName name="dateRates" localSheetId="64">#REF!</definedName>
    <definedName name="dateRates" localSheetId="1">#REF!</definedName>
    <definedName name="dateRates">#REF!</definedName>
    <definedName name="dateRawQ" localSheetId="64">'[40]Raw Data'!#REF!</definedName>
    <definedName name="dateRawQ" localSheetId="1">'[40]Raw Data'!#REF!</definedName>
    <definedName name="dateRawQ" localSheetId="56">'[40]Raw Data'!#REF!</definedName>
    <definedName name="dateRawQ">'[40]Raw Data'!#REF!</definedName>
    <definedName name="dateReal" localSheetId="64">#REF!</definedName>
    <definedName name="dateReal" localSheetId="1">#REF!</definedName>
    <definedName name="dateReal">#REF!</definedName>
    <definedName name="dates" localSheetId="64">#REF!</definedName>
    <definedName name="dates" localSheetId="1">#REF!</definedName>
    <definedName name="dates">#REF!</definedName>
    <definedName name="dates_w" localSheetId="64">#REF!</definedName>
    <definedName name="dates_w" localSheetId="1">#REF!</definedName>
    <definedName name="dates_w">#REF!</definedName>
    <definedName name="dates1" localSheetId="64">#REF!</definedName>
    <definedName name="dates1" localSheetId="1">#REF!</definedName>
    <definedName name="dates1">#REF!</definedName>
    <definedName name="dates2" localSheetId="64">#REF!</definedName>
    <definedName name="dates2" localSheetId="1">#REF!</definedName>
    <definedName name="dates2">#REF!</definedName>
    <definedName name="datesb" localSheetId="64">[31]B!$B$20:$B$134</definedName>
    <definedName name="datesb" localSheetId="56">[32]B!$B$20:$B$134</definedName>
    <definedName name="datesb">[33]B!$B$20:$B$134</definedName>
    <definedName name="datesc" localSheetId="64">#REF!</definedName>
    <definedName name="datesc" localSheetId="1">#REF!</definedName>
    <definedName name="datesc">#REF!</definedName>
    <definedName name="datesd" localSheetId="64">#REF!</definedName>
    <definedName name="datesd" localSheetId="1">#REF!</definedName>
    <definedName name="datesd">#REF!</definedName>
    <definedName name="DATESG" localSheetId="64">#REF!</definedName>
    <definedName name="DATESG" localSheetId="1">#REF!</definedName>
    <definedName name="DATESG" localSheetId="56">#REF!</definedName>
    <definedName name="DATESG">#REF!</definedName>
    <definedName name="datesm" localSheetId="64">#REF!</definedName>
    <definedName name="datesm" localSheetId="1">#REF!</definedName>
    <definedName name="datesm">#REF!</definedName>
    <definedName name="datesq" localSheetId="64">#REF!</definedName>
    <definedName name="datesq" localSheetId="1">#REF!</definedName>
    <definedName name="datesq" localSheetId="56">#REF!</definedName>
    <definedName name="datesq">#REF!</definedName>
    <definedName name="datesr" localSheetId="64">#REF!</definedName>
    <definedName name="datesr" localSheetId="1">#REF!</definedName>
    <definedName name="datesr">#REF!</definedName>
    <definedName name="datestran" localSheetId="64">[31]transfer!$A$9:$A$116</definedName>
    <definedName name="datestran" localSheetId="56">[32]transfer!$A$9:$A$116</definedName>
    <definedName name="datestran">[33]transfer!$A$9:$A$116</definedName>
    <definedName name="datgdp" localSheetId="64">#REF!</definedName>
    <definedName name="datgdp" localSheetId="1">#REF!</definedName>
    <definedName name="datgdp">#REF!</definedName>
    <definedName name="datin1" localSheetId="64">[5]REER!$B$9:$B$119</definedName>
    <definedName name="datin1" localSheetId="56">[6]REER!$B$9:$B$119</definedName>
    <definedName name="datin1">[22]REER!$B$9:$B$119</definedName>
    <definedName name="datin2" localSheetId="64">[5]REER!$B$144:$B$253</definedName>
    <definedName name="datin2" localSheetId="56">[6]REER!$B$144:$B$253</definedName>
    <definedName name="datin2">[22]REER!$B$144:$B$253</definedName>
    <definedName name="datq" localSheetId="64">#REF!</definedName>
    <definedName name="datq" localSheetId="1">#REF!</definedName>
    <definedName name="datq">#REF!</definedName>
    <definedName name="datq1" localSheetId="64">#REF!</definedName>
    <definedName name="datq1" localSheetId="1">#REF!</definedName>
    <definedName name="datq1">#REF!</definedName>
    <definedName name="datq2" localSheetId="64">#REF!</definedName>
    <definedName name="datq2" localSheetId="1">#REF!</definedName>
    <definedName name="datq2">#REF!</definedName>
    <definedName name="datreer" localSheetId="64">[5]REER!$B$144:$B$258</definedName>
    <definedName name="datreer" localSheetId="56">[6]REER!$B$144:$B$258</definedName>
    <definedName name="datreer">[22]REER!$B$144:$B$258</definedName>
    <definedName name="datt" localSheetId="64">#REF!</definedName>
    <definedName name="datt" localSheetId="1">#REF!</definedName>
    <definedName name="datt">#REF!</definedName>
    <definedName name="DBproj">#N/A</definedName>
    <definedName name="dd" localSheetId="64" hidden="1">{"Riqfin97",#N/A,FALSE,"Tran";"Riqfinpro",#N/A,FALSE,"Tran"}</definedName>
    <definedName name="dd" localSheetId="55" hidden="1">{"Riqfin97",#N/A,FALSE,"Tran";"Riqfinpro",#N/A,FALSE,"Tran"}</definedName>
    <definedName name="dd" localSheetId="56" hidden="1">{"Riqfin97",#N/A,FALSE,"Tran";"Riqfinpro",#N/A,FALSE,"Tran"}</definedName>
    <definedName name="dd" hidden="1">{"Riqfin97",#N/A,FALSE,"Tran";"Riqfinpro",#N/A,FALSE,"Tran"}</definedName>
    <definedName name="dd_balance">[41]!dd_balance1[saldo]</definedName>
    <definedName name="dd_cyklus">[42]!dd_cyclus[cyklus]</definedName>
    <definedName name="dd_oneoff">[42]hidden!$B$2:$B$3</definedName>
    <definedName name="ddd" localSheetId="64" hidden="1">{"Riqfin97",#N/A,FALSE,"Tran";"Riqfinpro",#N/A,FALSE,"Tran"}</definedName>
    <definedName name="ddd" localSheetId="55" hidden="1">{"Riqfin97",#N/A,FALSE,"Tran";"Riqfinpro",#N/A,FALSE,"Tran"}</definedName>
    <definedName name="ddd" localSheetId="56" hidden="1">{"Riqfin97",#N/A,FALSE,"Tran";"Riqfinpro",#N/A,FALSE,"Tran"}</definedName>
    <definedName name="ddd" hidden="1">{"Riqfin97",#N/A,FALSE,"Tran";"Riqfinpro",#N/A,FALSE,"Tran"}</definedName>
    <definedName name="debt" localSheetId="64">#REF!</definedName>
    <definedName name="debt" localSheetId="1">#REF!</definedName>
    <definedName name="debt">#REF!</definedName>
    <definedName name="DEBT1" localSheetId="64">#REF!</definedName>
    <definedName name="DEBT1" localSheetId="1">#REF!</definedName>
    <definedName name="DEBT1">#REF!</definedName>
    <definedName name="DEBT10" localSheetId="64">#REF!</definedName>
    <definedName name="DEBT10" localSheetId="1">#REF!</definedName>
    <definedName name="DEBT10">#REF!</definedName>
    <definedName name="DEBT11" localSheetId="64">#REF!</definedName>
    <definedName name="DEBT11" localSheetId="1">#REF!</definedName>
    <definedName name="DEBT11">#REF!</definedName>
    <definedName name="DEBT12" localSheetId="64">#REF!</definedName>
    <definedName name="DEBT12" localSheetId="1">#REF!</definedName>
    <definedName name="DEBT12">#REF!</definedName>
    <definedName name="DEBT13" localSheetId="64">#REF!</definedName>
    <definedName name="DEBT13" localSheetId="1">#REF!</definedName>
    <definedName name="DEBT13">#REF!</definedName>
    <definedName name="DEBT14" localSheetId="64">#REF!</definedName>
    <definedName name="DEBT14" localSheetId="1">#REF!</definedName>
    <definedName name="DEBT14">#REF!</definedName>
    <definedName name="DEBT15" localSheetId="64">#REF!</definedName>
    <definedName name="DEBT15" localSheetId="1">#REF!</definedName>
    <definedName name="DEBT15">#REF!</definedName>
    <definedName name="DEBT16" localSheetId="64">#REF!</definedName>
    <definedName name="DEBT16" localSheetId="1">#REF!</definedName>
    <definedName name="DEBT16">#REF!</definedName>
    <definedName name="DEBT1B" localSheetId="64">#REF!</definedName>
    <definedName name="DEBT1B" localSheetId="1">#REF!</definedName>
    <definedName name="DEBT1B">#REF!</definedName>
    <definedName name="DEBT2" localSheetId="64">#REF!</definedName>
    <definedName name="DEBT2" localSheetId="1">#REF!</definedName>
    <definedName name="DEBT2">#REF!</definedName>
    <definedName name="DEBT2B" localSheetId="64">#REF!</definedName>
    <definedName name="DEBT2B" localSheetId="1">#REF!</definedName>
    <definedName name="DEBT2B">#REF!</definedName>
    <definedName name="DEBT3" localSheetId="64">#REF!</definedName>
    <definedName name="DEBT3" localSheetId="1">#REF!</definedName>
    <definedName name="DEBT3">#REF!</definedName>
    <definedName name="DEBT4" localSheetId="64">#REF!</definedName>
    <definedName name="DEBT4" localSheetId="1">#REF!</definedName>
    <definedName name="DEBT4">#REF!</definedName>
    <definedName name="DEBT5" localSheetId="64">#REF!</definedName>
    <definedName name="DEBT5" localSheetId="1">#REF!</definedName>
    <definedName name="DEBT5">#REF!</definedName>
    <definedName name="DEBT6" localSheetId="64">#REF!</definedName>
    <definedName name="DEBT6" localSheetId="1">#REF!</definedName>
    <definedName name="DEBT6">#REF!</definedName>
    <definedName name="DEBT7" localSheetId="64">#REF!</definedName>
    <definedName name="DEBT7" localSheetId="1">#REF!</definedName>
    <definedName name="DEBT7">#REF!</definedName>
    <definedName name="DEBT8" localSheetId="64">#REF!</definedName>
    <definedName name="DEBT8" localSheetId="1">#REF!</definedName>
    <definedName name="DEBT8">#REF!</definedName>
    <definedName name="DEBT9" localSheetId="64">#REF!</definedName>
    <definedName name="DEBT9" localSheetId="1">#REF!</definedName>
    <definedName name="DEBT9">#REF!</definedName>
    <definedName name="debtproj" localSheetId="64">#REF!</definedName>
    <definedName name="debtproj" localSheetId="1">#REF!</definedName>
    <definedName name="debtproj">#REF!</definedName>
    <definedName name="DEFLATORS" localSheetId="64">#REF!</definedName>
    <definedName name="DEFLATORS" localSheetId="1">#REF!</definedName>
    <definedName name="DEFLATORS">#REF!</definedName>
    <definedName name="degresivita" localSheetId="64">[30]Graf14_Graf15!#REF!</definedName>
    <definedName name="degresivita">[30]Graf14_Graf15!#REF!</definedName>
    <definedName name="degresivita_2" localSheetId="64">[30]Graf14_Graf15!#REF!</definedName>
    <definedName name="degresivita_2">[30]Graf14_Graf15!#REF!</definedName>
    <definedName name="deleteme1" localSheetId="64" hidden="1">#REF!</definedName>
    <definedName name="deleteme1" hidden="1">#REF!</definedName>
    <definedName name="deleteme3" localSheetId="64" hidden="1">#REF!</definedName>
    <definedName name="deleteme3" hidden="1">#REF!</definedName>
    <definedName name="Department" localSheetId="64">[43]REER!#REF!</definedName>
    <definedName name="Department" localSheetId="1">[44]REER!#REF!</definedName>
    <definedName name="Department" localSheetId="56">[45]REER!#REF!</definedName>
    <definedName name="Department">[44]REER!#REF!</definedName>
    <definedName name="DGproj">#N/A</definedName>
    <definedName name="DLX1.USE" localSheetId="64">[46]Haver!$A$2:$N$8</definedName>
    <definedName name="DLX1.USE" localSheetId="56">[47]Haver!$A$2:$N$8</definedName>
    <definedName name="DLX1.USE">[48]Haver!$A$2:$N$8</definedName>
    <definedName name="DOC" localSheetId="64">#REF!</definedName>
    <definedName name="DOC" localSheetId="1">#REF!</definedName>
    <definedName name="DOC">#REF!</definedName>
    <definedName name="dp" localSheetId="64">[49]DP!$A:$E</definedName>
    <definedName name="dp">[49]DP!$A$1:$E$65536</definedName>
    <definedName name="Dproj">#N/A</definedName>
    <definedName name="dre" localSheetId="1" hidden="1">[50]M!#REF!</definedName>
    <definedName name="dre" localSheetId="55" hidden="1">[50]M!#REF!</definedName>
    <definedName name="dre" localSheetId="56" hidden="1">[50]M!#REF!</definedName>
    <definedName name="dre" hidden="1">[50]M!#REF!</definedName>
    <definedName name="DSD">#N/A</definedName>
    <definedName name="DSD_S">#N/A</definedName>
    <definedName name="DSDB">#N/A</definedName>
    <definedName name="DSDG">#N/A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64">#REF!</definedName>
    <definedName name="e12db" localSheetId="1">#REF!</definedName>
    <definedName name="e12db">#REF!</definedName>
    <definedName name="e9db">[51]e9!$A$1:$V$49</definedName>
    <definedName name="EDNA">#N/A</definedName>
    <definedName name="EDSSDESCRIPTOR" localSheetId="64">#REF!</definedName>
    <definedName name="EDSSDESCRIPTOR" localSheetId="1">#REF!</definedName>
    <definedName name="EDSSDESCRIPTOR">#REF!</definedName>
    <definedName name="EDSSFILE" localSheetId="64">#REF!</definedName>
    <definedName name="EDSSFILE" localSheetId="1">#REF!</definedName>
    <definedName name="EDSSFILE">#REF!</definedName>
    <definedName name="EDSSNAME" localSheetId="64">#REF!</definedName>
    <definedName name="EDSSNAME" localSheetId="1">#REF!</definedName>
    <definedName name="EDSSNAME">#REF!</definedName>
    <definedName name="EDSSTIME" localSheetId="64">#REF!</definedName>
    <definedName name="EDSSTIME" localSheetId="1">#REF!</definedName>
    <definedName name="EDSSTIME">#REF!</definedName>
    <definedName name="ee" localSheetId="64" hidden="1">{"Tab1",#N/A,FALSE,"P";"Tab2",#N/A,FALSE,"P"}</definedName>
    <definedName name="ee" localSheetId="55" hidden="1">{"Tab1",#N/A,FALSE,"P";"Tab2",#N/A,FALSE,"P"}</definedName>
    <definedName name="ee" localSheetId="56" hidden="1">{"Tab1",#N/A,FALSE,"P";"Tab2",#N/A,FALSE,"P"}</definedName>
    <definedName name="ee" hidden="1">{"Tab1",#N/A,FALSE,"P";"Tab2",#N/A,FALSE,"P"}</definedName>
    <definedName name="EECB" localSheetId="64">#REF!</definedName>
    <definedName name="EECB" localSheetId="1">#REF!</definedName>
    <definedName name="EECB">#REF!</definedName>
    <definedName name="eedx" hidden="1">{"Tab1",#N/A,FALSE,"P";"Tab2",#N/A,FALSE,"P"}</definedName>
    <definedName name="eee" localSheetId="64" hidden="1">{"Tab1",#N/A,FALSE,"P";"Tab2",#N/A,FALSE,"P"}</definedName>
    <definedName name="eee" localSheetId="55" hidden="1">{"Tab1",#N/A,FALSE,"P";"Tab2",#N/A,FALSE,"P"}</definedName>
    <definedName name="eee" localSheetId="56" hidden="1">{"Tab1",#N/A,FALSE,"P";"Tab2",#N/A,FALSE,"P"}</definedName>
    <definedName name="eee" hidden="1">{"Tab1",#N/A,FALSE,"P";"Tab2",#N/A,FALSE,"P"}</definedName>
    <definedName name="EISCODE" localSheetId="64">#REF!</definedName>
    <definedName name="EISCODE" localSheetId="1">#REF!</definedName>
    <definedName name="EISCODE">#REF!</definedName>
    <definedName name="elect" localSheetId="64">#REF!</definedName>
    <definedName name="elect" localSheetId="1">#REF!</definedName>
    <definedName name="elect">#REF!</definedName>
    <definedName name="Emerging_HTML_AREA" localSheetId="64">#REF!</definedName>
    <definedName name="Emerging_HTML_AREA" localSheetId="1">#REF!</definedName>
    <definedName name="Emerging_HTML_AREA">#REF!</definedName>
    <definedName name="EMETEL" localSheetId="64">#REF!</definedName>
    <definedName name="EMETEL" localSheetId="1">#REF!</definedName>
    <definedName name="EMETEL">#REF!</definedName>
    <definedName name="ENDA">#N/A</definedName>
    <definedName name="equal_TLC" localSheetId="64">[30]Graf14_Graf15!#REF!</definedName>
    <definedName name="equal_TLC">[30]Graf14_Graf15!#REF!</definedName>
    <definedName name="ExitWRS">[52]Main!$AB$25</definedName>
    <definedName name="fdfs" localSheetId="55" hidden="1">{"Riqfin97",#N/A,FALSE,"Tran";"Riqfinpro",#N/A,FALSE,"Tran"}</definedName>
    <definedName name="fdfs" localSheetId="56" hidden="1">{"Riqfin97",#N/A,FALSE,"Tran";"Riqfinpro",#N/A,FALSE,"Tran"}</definedName>
    <definedName name="fdfs" hidden="1">{"Riqfin97",#N/A,FALSE,"Tran";"Riqfinpro",#N/A,FALSE,"Tran"}</definedName>
    <definedName name="ff" localSheetId="64" hidden="1">{"Tab1",#N/A,FALSE,"P";"Tab2",#N/A,FALSE,"P"}</definedName>
    <definedName name="ff" localSheetId="55" hidden="1">{"Tab1",#N/A,FALSE,"P";"Tab2",#N/A,FALSE,"P"}</definedName>
    <definedName name="ff" localSheetId="56" hidden="1">{"Tab1",#N/A,FALSE,"P";"Tab2",#N/A,FALSE,"P"}</definedName>
    <definedName name="ff" hidden="1">{"Tab1",#N/A,FALSE,"P";"Tab2",#N/A,FALSE,"P"}</definedName>
    <definedName name="fff" localSheetId="64" hidden="1">{"Tab1",#N/A,FALSE,"P";"Tab2",#N/A,FALSE,"P"}</definedName>
    <definedName name="fff" localSheetId="55" hidden="1">{"Tab1",#N/A,FALSE,"P";"Tab2",#N/A,FALSE,"P"}</definedName>
    <definedName name="fff" localSheetId="56" hidden="1">{"Tab1",#N/A,FALSE,"P";"Tab2",#N/A,FALSE,"P"}</definedName>
    <definedName name="fff" hidden="1">{"Tab1",#N/A,FALSE,"P";"Tab2",#N/A,FALSE,"P"}</definedName>
    <definedName name="Fig8.2a" localSheetId="64">#REF!</definedName>
    <definedName name="Fig8.2a" localSheetId="1">#REF!</definedName>
    <definedName name="Fig8.2a" localSheetId="56">#REF!</definedName>
    <definedName name="Fig8.2a">#REF!</definedName>
    <definedName name="fill" hidden="1">'[53]Macroframework-Ver.1'!$A$1:$A$267</definedName>
    <definedName name="finan" localSheetId="64">#REF!</definedName>
    <definedName name="finan" localSheetId="1">#REF!</definedName>
    <definedName name="finan">#REF!</definedName>
    <definedName name="finan1" localSheetId="64">#REF!</definedName>
    <definedName name="finan1" localSheetId="1">#REF!</definedName>
    <definedName name="finan1">#REF!</definedName>
    <definedName name="Financing" localSheetId="64" hidden="1">{"Tab1",#N/A,FALSE,"P";"Tab2",#N/A,FALSE,"P"}</definedName>
    <definedName name="Financing" localSheetId="55" hidden="1">{"Tab1",#N/A,FALSE,"P";"Tab2",#N/A,FALSE,"P"}</definedName>
    <definedName name="Financing" localSheetId="56" hidden="1">{"Tab1",#N/A,FALSE,"P";"Tab2",#N/A,FALSE,"P"}</definedName>
    <definedName name="Financing" hidden="1">{"Tab1",#N/A,FALSE,"P";"Tab2",#N/A,FALSE,"P"}</definedName>
    <definedName name="FISUM" localSheetId="64">#REF!</definedName>
    <definedName name="FISUM" localSheetId="1">#REF!</definedName>
    <definedName name="FISUM" localSheetId="56">#REF!</definedName>
    <definedName name="FISUM">#REF!</definedName>
    <definedName name="FLOPEC" localSheetId="64">#REF!</definedName>
    <definedName name="FLOPEC" localSheetId="1">#REF!</definedName>
    <definedName name="FLOPEC">#REF!</definedName>
    <definedName name="FMB" localSheetId="64">#REF!</definedName>
    <definedName name="FMB" localSheetId="1">#REF!</definedName>
    <definedName name="FMB" localSheetId="56">#REF!</definedName>
    <definedName name="FMB">#REF!</definedName>
    <definedName name="FODESEC" localSheetId="64">#REF!</definedName>
    <definedName name="FODESEC" localSheetId="1">#REF!</definedName>
    <definedName name="FODESEC">#REF!</definedName>
    <definedName name="FOREXPORT" localSheetId="64">[5]H!$A$2:$F$86</definedName>
    <definedName name="FOREXPORT" localSheetId="56">[6]H!$A$2:$F$86</definedName>
    <definedName name="FOREXPORT">[22]H!$A$2:$F$86</definedName>
    <definedName name="fsd" localSheetId="1" hidden="1">#REF!</definedName>
    <definedName name="fsd" localSheetId="55" hidden="1">#REF!</definedName>
    <definedName name="fsd" localSheetId="56" hidden="1">#REF!</definedName>
    <definedName name="fsd" hidden="1">#REF!</definedName>
    <definedName name="fsdfsdfasdfasdfasd" localSheetId="1" hidden="1">#REF!</definedName>
    <definedName name="fsdfsdfasdfasdfasd" localSheetId="55" hidden="1">#REF!</definedName>
    <definedName name="fsdfsdfasdfasdfasd" localSheetId="56" hidden="1">#REF!</definedName>
    <definedName name="fsdfsdfasdfasdfasd" hidden="1">#REF!</definedName>
    <definedName name="FUNDOBL" localSheetId="64">#REF!</definedName>
    <definedName name="FUNDOBL" localSheetId="1">#REF!</definedName>
    <definedName name="FUNDOBL" localSheetId="56">#REF!</definedName>
    <definedName name="FUNDOBL">#REF!</definedName>
    <definedName name="FUNDOBLB" localSheetId="64">#REF!</definedName>
    <definedName name="FUNDOBLB" localSheetId="1">#REF!</definedName>
    <definedName name="FUNDOBLB">#REF!</definedName>
    <definedName name="g" localSheetId="64">#REF!</definedName>
    <definedName name="g" localSheetId="1">#REF!</definedName>
    <definedName name="g">#REF!</definedName>
    <definedName name="GCB" localSheetId="64">#REF!</definedName>
    <definedName name="GCB" localSheetId="1">#REF!</definedName>
    <definedName name="GCB" localSheetId="56">#REF!</definedName>
    <definedName name="GCB">#REF!</definedName>
    <definedName name="GCB_NGDP">#N/A</definedName>
    <definedName name="GCEI" localSheetId="64">#REF!</definedName>
    <definedName name="GCEI" localSheetId="1">#REF!</definedName>
    <definedName name="GCEI" localSheetId="56">#REF!</definedName>
    <definedName name="GCEI">#REF!</definedName>
    <definedName name="GCENL" localSheetId="64">#REF!</definedName>
    <definedName name="GCENL" localSheetId="1">#REF!</definedName>
    <definedName name="GCENL" localSheetId="56">#REF!</definedName>
    <definedName name="GCENL">#REF!</definedName>
    <definedName name="GCND" localSheetId="64">#REF!</definedName>
    <definedName name="GCND" localSheetId="1">#REF!</definedName>
    <definedName name="GCND" localSheetId="56">#REF!</definedName>
    <definedName name="GCND">#REF!</definedName>
    <definedName name="GCND_NGDP" localSheetId="64">#REF!</definedName>
    <definedName name="GCND_NGDP" localSheetId="1">#REF!</definedName>
    <definedName name="GCND_NGDP" localSheetId="56">#REF!</definedName>
    <definedName name="GCND_NGDP">#REF!</definedName>
    <definedName name="GCRG" localSheetId="64">#REF!</definedName>
    <definedName name="GCRG" localSheetId="1">#REF!</definedName>
    <definedName name="GCRG" localSheetId="56">#REF!</definedName>
    <definedName name="GCRG">#REF!</definedName>
    <definedName name="ggb" localSheetId="64">'[54]budget-G'!$A$1:$W$109</definedName>
    <definedName name="ggb" localSheetId="56">'[55]budget-G'!$A$1:$W$109</definedName>
    <definedName name="ggb">'[56]budget-G'!$A$1:$W$109</definedName>
    <definedName name="GGB_NGDP">#N/A</definedName>
    <definedName name="ggbeu" localSheetId="64">#REF!</definedName>
    <definedName name="ggbeu" localSheetId="1">#REF!</definedName>
    <definedName name="ggbeu" localSheetId="56">#REF!</definedName>
    <definedName name="ggbeu">#REF!</definedName>
    <definedName name="ggblg" localSheetId="64">#REF!</definedName>
    <definedName name="ggblg" localSheetId="1">#REF!</definedName>
    <definedName name="ggblg" localSheetId="56">#REF!</definedName>
    <definedName name="ggblg">#REF!</definedName>
    <definedName name="ggbls" localSheetId="64">#REF!</definedName>
    <definedName name="ggbls" localSheetId="1">#REF!</definedName>
    <definedName name="ggbls" localSheetId="56">#REF!</definedName>
    <definedName name="ggbls">#REF!</definedName>
    <definedName name="ggbss" localSheetId="64">#REF!</definedName>
    <definedName name="ggbss" localSheetId="1">#REF!</definedName>
    <definedName name="ggbss" localSheetId="56">#REF!</definedName>
    <definedName name="ggbss">#REF!</definedName>
    <definedName name="gge" localSheetId="64">[54]Expenditures!$A$1:$AC$62</definedName>
    <definedName name="gge" localSheetId="56">[55]Expenditures!$A$1:$AC$62</definedName>
    <definedName name="gge">[56]Expenditures!$A$1:$AC$62</definedName>
    <definedName name="GGED" localSheetId="64">#REF!</definedName>
    <definedName name="GGED" localSheetId="1">#REF!</definedName>
    <definedName name="GGED" localSheetId="56">#REF!</definedName>
    <definedName name="GGED">#REF!</definedName>
    <definedName name="GGEI" localSheetId="64">#REF!</definedName>
    <definedName name="GGEI" localSheetId="1">#REF!</definedName>
    <definedName name="GGEI" localSheetId="56">#REF!</definedName>
    <definedName name="GGEI">#REF!</definedName>
    <definedName name="GGENL" localSheetId="64">#REF!</definedName>
    <definedName name="GGENL" localSheetId="1">#REF!</definedName>
    <definedName name="GGENL" localSheetId="56">#REF!</definedName>
    <definedName name="GGENL">#REF!</definedName>
    <definedName name="ggg" localSheetId="64" hidden="1">{"Riqfin97",#N/A,FALSE,"Tran";"Riqfinpro",#N/A,FALSE,"Tran"}</definedName>
    <definedName name="ggg" localSheetId="55" hidden="1">{"Riqfin97",#N/A,FALSE,"Tran";"Riqfinpro",#N/A,FALSE,"Tran"}</definedName>
    <definedName name="ggg" localSheetId="56" hidden="1">{"Riqfin97",#N/A,FALSE,"Tran";"Riqfinpro",#N/A,FALSE,"Tran"}</definedName>
    <definedName name="ggg" hidden="1">{"Riqfin97",#N/A,FALSE,"Tran";"Riqfinpro",#N/A,FALSE,"Tran"}</definedName>
    <definedName name="ggggg" localSheetId="64" hidden="1">'[57]J(Priv.Cap)'!#REF!</definedName>
    <definedName name="ggggg" localSheetId="1" hidden="1">'[57]J(Priv.Cap)'!#REF!</definedName>
    <definedName name="ggggg" localSheetId="55" hidden="1">'[57]J(Priv.Cap)'!#REF!</definedName>
    <definedName name="ggggg" localSheetId="56" hidden="1">'[57]J(Priv.Cap)'!#REF!</definedName>
    <definedName name="ggggg" hidden="1">'[57]J(Priv.Cap)'!#REF!</definedName>
    <definedName name="ggggggg" localSheetId="64">#N/A</definedName>
    <definedName name="ggggggg" localSheetId="56">'Graf 46 + 47'!ggggggg</definedName>
    <definedName name="ggggggg">[23]!ggggggg</definedName>
    <definedName name="GGND" localSheetId="64">#REF!</definedName>
    <definedName name="GGND" localSheetId="1">#REF!</definedName>
    <definedName name="GGND" localSheetId="56">#REF!</definedName>
    <definedName name="GGND">#REF!</definedName>
    <definedName name="ggr" localSheetId="64">[54]Revenues!$A$1:$AD$58</definedName>
    <definedName name="ggr" localSheetId="56">[55]Revenues!$A$1:$AD$58</definedName>
    <definedName name="ggr">[56]Revenues!$A$1:$AD$58</definedName>
    <definedName name="GGRG" localSheetId="64">#REF!</definedName>
    <definedName name="GGRG" localSheetId="1">#REF!</definedName>
    <definedName name="GGRG" localSheetId="56">#REF!</definedName>
    <definedName name="GGRG">#REF!</definedName>
    <definedName name="GPee_2" localSheetId="64">[30]Graf14_Graf15!#REF!</definedName>
    <definedName name="GPee_2">[30]Graf14_Graf15!#REF!</definedName>
    <definedName name="GPer_2" localSheetId="64">[30]Graf14_Graf15!#REF!</definedName>
    <definedName name="GPer_2">[30]Graf14_Graf15!#REF!</definedName>
    <definedName name="hgfd" hidden="1">{#N/A,#N/A,FALSE,"I";#N/A,#N/A,FALSE,"J";#N/A,#N/A,FALSE,"K";#N/A,#N/A,FALSE,"L";#N/A,#N/A,FALSE,"M";#N/A,#N/A,FALSE,"N";#N/A,#N/A,FALSE,"O"}</definedName>
    <definedName name="hhh" localSheetId="64" hidden="1">'[58]J(Priv.Cap)'!#REF!</definedName>
    <definedName name="hhh" localSheetId="1" hidden="1">'[58]J(Priv.Cap)'!#REF!</definedName>
    <definedName name="hhh" localSheetId="55" hidden="1">'[58]J(Priv.Cap)'!#REF!</definedName>
    <definedName name="hhh" localSheetId="56" hidden="1">'[58]J(Priv.Cap)'!#REF!</definedName>
    <definedName name="hhh" hidden="1">'[58]J(Priv.Cap)'!#REF!</definedName>
    <definedName name="hhhhhhh" localSheetId="64">#N/A</definedName>
    <definedName name="hhhhhhh" localSheetId="56">'Graf 46 + 47'!hhhhhhh</definedName>
    <definedName name="hhhhhhh">[23]!hhhhhhh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 localSheetId="64">#REF!</definedName>
    <definedName name="CHART" localSheetId="1">#REF!</definedName>
    <definedName name="CHART">#REF!</definedName>
    <definedName name="chart4" hidden="1">{#N/A,#N/A,FALSE,"CB";#N/A,#N/A,FALSE,"CMB";#N/A,#N/A,FALSE,"NBFI"}</definedName>
    <definedName name="CHILE" localSheetId="64">#REF!</definedName>
    <definedName name="CHILE" localSheetId="1">#REF!</definedName>
    <definedName name="CHILE">#REF!</definedName>
    <definedName name="CHK" localSheetId="64">#REF!</definedName>
    <definedName name="CHK" localSheetId="1">#REF!</definedName>
    <definedName name="CHK" localSheetId="56">#REF!</definedName>
    <definedName name="CHK">#REF!</definedName>
    <definedName name="i" localSheetId="64">#REF!</definedName>
    <definedName name="i" localSheetId="1">#REF!</definedName>
    <definedName name="i">#REF!</definedName>
    <definedName name="IESS" localSheetId="64">#REF!</definedName>
    <definedName name="IESS" localSheetId="1">#REF!</definedName>
    <definedName name="IESS">#REF!</definedName>
    <definedName name="ii" localSheetId="64" hidden="1">{"Tab1",#N/A,FALSE,"P";"Tab2",#N/A,FALSE,"P"}</definedName>
    <definedName name="ii" localSheetId="55" hidden="1">{"Tab1",#N/A,FALSE,"P";"Tab2",#N/A,FALSE,"P"}</definedName>
    <definedName name="ii" localSheetId="56" hidden="1">{"Tab1",#N/A,FALSE,"P";"Tab2",#N/A,FALSE,"P"}</definedName>
    <definedName name="ii" hidden="1">{"Tab1",#N/A,FALSE,"P";"Tab2",#N/A,FALSE,"P"}</definedName>
    <definedName name="II_pilier_2" localSheetId="64">[30]Graf14_Graf15!#REF!</definedName>
    <definedName name="II_pilier_2">[30]Graf14_Graf15!#REF!</definedName>
    <definedName name="II_pillar_figure" localSheetId="64">[30]Graf14_Graf15!#REF!</definedName>
    <definedName name="II_pillar_figure">[30]Graf14_Graf15!#REF!</definedName>
    <definedName name="ima" localSheetId="64">#REF!</definedName>
    <definedName name="ima" localSheetId="1">#REF!</definedName>
    <definedName name="ima">#REF!</definedName>
    <definedName name="IN1_" localSheetId="64">#REF!</definedName>
    <definedName name="IN1_" localSheetId="1">#REF!</definedName>
    <definedName name="IN1_">#REF!</definedName>
    <definedName name="IN2_" localSheetId="64">#REF!</definedName>
    <definedName name="IN2_" localSheetId="1">#REF!</definedName>
    <definedName name="IN2_">#REF!</definedName>
    <definedName name="INB" localSheetId="64">[31]B!$K$6:$T$6</definedName>
    <definedName name="INB" localSheetId="56">[32]B!$K$6:$T$6</definedName>
    <definedName name="INB">[33]B!$K$6:$T$6</definedName>
    <definedName name="INC" localSheetId="64">[31]C!$H$6:$I$6</definedName>
    <definedName name="INC" localSheetId="56">[32]C!$H$6:$I$6</definedName>
    <definedName name="INC">[33]C!$H$6:$I$6</definedName>
    <definedName name="ind" localSheetId="64">#REF!</definedName>
    <definedName name="ind" localSheetId="1">#REF!</definedName>
    <definedName name="ind">#REF!</definedName>
    <definedName name="INECEL" localSheetId="64">#REF!</definedName>
    <definedName name="INECEL" localSheetId="1">#REF!</definedName>
    <definedName name="INECEL">#REF!</definedName>
    <definedName name="inflation" localSheetId="64" hidden="1">[59]TAB34!#REF!</definedName>
    <definedName name="inflation" localSheetId="1" hidden="1">[60]TAB34!#REF!</definedName>
    <definedName name="inflation" localSheetId="55" hidden="1">[60]TAB34!#REF!</definedName>
    <definedName name="inflation" localSheetId="56" hidden="1">[61]TAB34!#REF!</definedName>
    <definedName name="inflation" hidden="1">[60]TAB34!#REF!</definedName>
    <definedName name="INPUT_2" localSheetId="64">[1]Input!#REF!</definedName>
    <definedName name="INPUT_2" localSheetId="1">[1]Input!#REF!</definedName>
    <definedName name="INPUT_2" localSheetId="56">[1]Input!#REF!</definedName>
    <definedName name="INPUT_2">[1]Input!#REF!</definedName>
    <definedName name="INPUT_4" localSheetId="64">[1]Input!#REF!</definedName>
    <definedName name="INPUT_4" localSheetId="1">[1]Input!#REF!</definedName>
    <definedName name="INPUT_4" localSheetId="56">[1]Input!#REF!</definedName>
    <definedName name="INPUT_4">[1]Input!#REF!</definedName>
    <definedName name="IPee_2" localSheetId="64">[30]Graf14_Graf15!#REF!</definedName>
    <definedName name="IPee_2">[30]Graf14_Graf15!#REF!</definedName>
    <definedName name="IPer_2" localSheetId="64">[30]Graf14_Graf15!#REF!</definedName>
    <definedName name="IPer_2">[30]Graf14_Graf15!#REF!</definedName>
    <definedName name="IT" localSheetId="64">[30]Graf14_Graf15!#REF!</definedName>
    <definedName name="IT">[30]Graf14_Graf15!#REF!</definedName>
    <definedName name="IT_2" localSheetId="64">[30]Graf14_Graf15!#REF!</definedName>
    <definedName name="IT_2">[30]Graf14_Graf15!#REF!</definedName>
    <definedName name="IT_2_bracket_2" localSheetId="64">[30]Graf14_Graf15!#REF!</definedName>
    <definedName name="IT_2_bracket_2">[30]Graf14_Graf15!#REF!</definedName>
    <definedName name="jhgf" hidden="1">{"MONA",#N/A,FALSE,"S"}</definedName>
    <definedName name="jj" localSheetId="64" hidden="1">{"Riqfin97",#N/A,FALSE,"Tran";"Riqfinpro",#N/A,FALSE,"Tran"}</definedName>
    <definedName name="jj" localSheetId="55" hidden="1">{"Riqfin97",#N/A,FALSE,"Tran";"Riqfinpro",#N/A,FALSE,"Tran"}</definedName>
    <definedName name="jj" localSheetId="56" hidden="1">{"Riqfin97",#N/A,FALSE,"Tran";"Riqfinpro",#N/A,FALSE,"Tran"}</definedName>
    <definedName name="jj" hidden="1">{"Riqfin97",#N/A,FALSE,"Tran";"Riqfinpro",#N/A,FALSE,"Tran"}</definedName>
    <definedName name="jjj" localSheetId="64" hidden="1">[62]M!#REF!</definedName>
    <definedName name="jjj" localSheetId="1" hidden="1">[62]M!#REF!</definedName>
    <definedName name="jjj" localSheetId="55" hidden="1">[62]M!#REF!</definedName>
    <definedName name="jjj" localSheetId="56" hidden="1">[62]M!#REF!</definedName>
    <definedName name="jjj" hidden="1">[62]M!#REF!</definedName>
    <definedName name="jjjjjj" localSheetId="64" hidden="1">'[57]J(Priv.Cap)'!#REF!</definedName>
    <definedName name="jjjjjj" localSheetId="1" hidden="1">'[57]J(Priv.Cap)'!#REF!</definedName>
    <definedName name="jjjjjj" localSheetId="55" hidden="1">'[57]J(Priv.Cap)'!#REF!</definedName>
    <definedName name="jjjjjj" localSheetId="56" hidden="1">'[57]J(Priv.Cap)'!#REF!</definedName>
    <definedName name="jjjjjj" hidden="1">'[57]J(Priv.Cap)'!#REF!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localSheetId="64" hidden="1">{"Tab1",#N/A,FALSE,"P";"Tab2",#N/A,FALSE,"P"}</definedName>
    <definedName name="kk" localSheetId="55" hidden="1">{"Tab1",#N/A,FALSE,"P";"Tab2",#N/A,FALSE,"P"}</definedName>
    <definedName name="kk" localSheetId="56" hidden="1">{"Tab1",#N/A,FALSE,"P";"Tab2",#N/A,FALSE,"P"}</definedName>
    <definedName name="kk" hidden="1">{"Tab1",#N/A,FALSE,"P";"Tab2",#N/A,FALSE,"P"}</definedName>
    <definedName name="kkk" localSheetId="64" hidden="1">{"Tab1",#N/A,FALSE,"P";"Tab2",#N/A,FALSE,"P"}</definedName>
    <definedName name="kkk" localSheetId="55" hidden="1">{"Tab1",#N/A,FALSE,"P";"Tab2",#N/A,FALSE,"P"}</definedName>
    <definedName name="kkk" localSheetId="56" hidden="1">{"Tab1",#N/A,FALSE,"P";"Tab2",#N/A,FALSE,"P"}</definedName>
    <definedName name="kkk" hidden="1">{"Tab1",#N/A,FALSE,"P";"Tab2",#N/A,FALSE,"P"}</definedName>
    <definedName name="kkkk" localSheetId="64" hidden="1">[50]M!#REF!</definedName>
    <definedName name="kkkk" localSheetId="1" hidden="1">[50]M!#REF!</definedName>
    <definedName name="kkkk" localSheetId="55" hidden="1">[50]M!#REF!</definedName>
    <definedName name="kkkk" localSheetId="56" hidden="1">[50]M!#REF!</definedName>
    <definedName name="kkkk" hidden="1">[50]M!#REF!</definedName>
    <definedName name="Konto" localSheetId="64">#REF!</definedName>
    <definedName name="Konto" localSheetId="1">#REF!</definedName>
    <definedName name="Konto">#REF!</definedName>
    <definedName name="kumul1" localSheetId="64">#REF!</definedName>
    <definedName name="kumul1" localSheetId="1">#REF!</definedName>
    <definedName name="kumul1">#REF!</definedName>
    <definedName name="kumul2" localSheetId="64">#REF!</definedName>
    <definedName name="kumul2" localSheetId="1">#REF!</definedName>
    <definedName name="kumul2">#REF!</definedName>
    <definedName name="kvart1" localSheetId="64">#REF!</definedName>
    <definedName name="kvart1" localSheetId="1">#REF!</definedName>
    <definedName name="kvart1">#REF!</definedName>
    <definedName name="kvart2" localSheetId="64">#REF!</definedName>
    <definedName name="kvart2" localSheetId="1">#REF!</definedName>
    <definedName name="kvart2">#REF!</definedName>
    <definedName name="kvart3" localSheetId="64">#REF!</definedName>
    <definedName name="kvart3" localSheetId="1">#REF!</definedName>
    <definedName name="kvart3">#REF!</definedName>
    <definedName name="kvart4" localSheetId="64">#REF!</definedName>
    <definedName name="kvart4" localSheetId="1">#REF!</definedName>
    <definedName name="kvart4">#REF!</definedName>
    <definedName name="ll" localSheetId="64" hidden="1">{"Tab1",#N/A,FALSE,"P";"Tab2",#N/A,FALSE,"P"}</definedName>
    <definedName name="ll" localSheetId="55" hidden="1">{"Tab1",#N/A,FALSE,"P";"Tab2",#N/A,FALSE,"P"}</definedName>
    <definedName name="ll" localSheetId="56" hidden="1">{"Tab1",#N/A,FALSE,"P";"Tab2",#N/A,FALSE,"P"}</definedName>
    <definedName name="ll" hidden="1">{"Tab1",#N/A,FALSE,"P";"Tab2",#N/A,FALSE,"P"}</definedName>
    <definedName name="lll" localSheetId="64" hidden="1">{"Riqfin97",#N/A,FALSE,"Tran";"Riqfinpro",#N/A,FALSE,"Tran"}</definedName>
    <definedName name="lll" localSheetId="55" hidden="1">{"Riqfin97",#N/A,FALSE,"Tran";"Riqfinpro",#N/A,FALSE,"Tran"}</definedName>
    <definedName name="lll" localSheetId="56" hidden="1">{"Riqfin97",#N/A,FALSE,"Tran";"Riqfinpro",#N/A,FALSE,"Tran"}</definedName>
    <definedName name="lll" hidden="1">{"Riqfin97",#N/A,FALSE,"Tran";"Riqfinpro",#N/A,FALSE,"Tran"}</definedName>
    <definedName name="llll" localSheetId="64" hidden="1">[62]M!#REF!</definedName>
    <definedName name="llll" localSheetId="1" hidden="1">[62]M!#REF!</definedName>
    <definedName name="llll" localSheetId="55" hidden="1">[62]M!#REF!</definedName>
    <definedName name="llll" localSheetId="56" hidden="1">[62]M!#REF!</definedName>
    <definedName name="llll" hidden="1">[62]M!#REF!</definedName>
    <definedName name="ls" localSheetId="64">[49]LS!$A:$E</definedName>
    <definedName name="ls">[49]LS!$A$1:$E$65536</definedName>
    <definedName name="LUR">#N/A</definedName>
    <definedName name="Malaysia" localSheetId="64">#REF!</definedName>
    <definedName name="Malaysia" localSheetId="1">#REF!</definedName>
    <definedName name="Malaysia">#REF!</definedName>
    <definedName name="MCV">#N/A</definedName>
    <definedName name="MCV_B">#N/A</definedName>
    <definedName name="MCV_B1" localSheetId="64">'[28]WEO-BOP'!#REF!</definedName>
    <definedName name="MCV_B1" localSheetId="1">'[28]WEO-BOP'!#REF!</definedName>
    <definedName name="MCV_B1" localSheetId="56">'[28]WEO-BOP'!#REF!</definedName>
    <definedName name="MCV_B1">'[28]WEO-BOP'!#REF!</definedName>
    <definedName name="MCV_D">#N/A</definedName>
    <definedName name="MCV_N">#N/A</definedName>
    <definedName name="MCV_T">#N/A</definedName>
    <definedName name="MENORES" localSheetId="64">#REF!</definedName>
    <definedName name="MENORES" localSheetId="1">#REF!</definedName>
    <definedName name="MENORES">#REF!</definedName>
    <definedName name="mesec1" localSheetId="64">#REF!</definedName>
    <definedName name="mesec1" localSheetId="1">#REF!</definedName>
    <definedName name="mesec1">#REF!</definedName>
    <definedName name="mesec2" localSheetId="64">#REF!</definedName>
    <definedName name="mesec2" localSheetId="1">#REF!</definedName>
    <definedName name="mesec2">#REF!</definedName>
    <definedName name="mf" localSheetId="64" hidden="1">{"Tab1",#N/A,FALSE,"P";"Tab2",#N/A,FALSE,"P"}</definedName>
    <definedName name="mf" localSheetId="55" hidden="1">{"Tab1",#N/A,FALSE,"P";"Tab2",#N/A,FALSE,"P"}</definedName>
    <definedName name="mf" localSheetId="56" hidden="1">{"Tab1",#N/A,FALSE,"P";"Tab2",#N/A,FALSE,"P"}</definedName>
    <definedName name="mf" hidden="1">{"Tab1",#N/A,FALSE,"P";"Tab2",#N/A,FALSE,"P"}</definedName>
    <definedName name="MFISCAL" localSheetId="64">'[3]Annual Raw Data'!#REF!</definedName>
    <definedName name="MFISCAL" localSheetId="1">'[3]Annual Raw Data'!#REF!</definedName>
    <definedName name="MFISCAL" localSheetId="56">'[3]Annual Raw Data'!#REF!</definedName>
    <definedName name="MFISCAL">'[3]Annual Raw Data'!#REF!</definedName>
    <definedName name="mflowsa" localSheetId="64">[19]!mflowsa</definedName>
    <definedName name="mflowsa" localSheetId="1">[19]!mflowsa</definedName>
    <definedName name="mflowsa" localSheetId="56">[19]!mflowsa</definedName>
    <definedName name="mflowsa">[19]!mflowsa</definedName>
    <definedName name="mflowsq" localSheetId="64">[19]!mflowsq</definedName>
    <definedName name="mflowsq" localSheetId="1">[19]!mflowsq</definedName>
    <definedName name="mflowsq" localSheetId="56">[19]!mflowsq</definedName>
    <definedName name="mflowsq">[19]!mflowsq</definedName>
    <definedName name="MICRO" localSheetId="64">#REF!</definedName>
    <definedName name="MICRO" localSheetId="1">#REF!</definedName>
    <definedName name="MICRO">#REF!</definedName>
    <definedName name="min_VZ" localSheetId="64">[30]Graf14_Graf15!#REF!</definedName>
    <definedName name="min_VZ">[30]Graf14_Graf15!#REF!</definedName>
    <definedName name="MISC3" localSheetId="64">#REF!</definedName>
    <definedName name="MISC3" localSheetId="1">#REF!</definedName>
    <definedName name="MISC3">#REF!</definedName>
    <definedName name="MISC4" localSheetId="64">[1]OUTPUT!#REF!</definedName>
    <definedName name="MISC4" localSheetId="1">[1]OUTPUT!#REF!</definedName>
    <definedName name="MISC4" localSheetId="56">[1]OUTPUT!#REF!</definedName>
    <definedName name="MISC4">[1]OUTPUT!#REF!</definedName>
    <definedName name="mmm" localSheetId="64" hidden="1">{"Riqfin97",#N/A,FALSE,"Tran";"Riqfinpro",#N/A,FALSE,"Tran"}</definedName>
    <definedName name="mmm" localSheetId="55" hidden="1">{"Riqfin97",#N/A,FALSE,"Tran";"Riqfinpro",#N/A,FALSE,"Tran"}</definedName>
    <definedName name="mmm" localSheetId="56" hidden="1">{"Riqfin97",#N/A,FALSE,"Tran";"Riqfinpro",#N/A,FALSE,"Tran"}</definedName>
    <definedName name="mmm" hidden="1">{"Riqfin97",#N/A,FALSE,"Tran";"Riqfinpro",#N/A,FALSE,"Tran"}</definedName>
    <definedName name="mmmm" localSheetId="64" hidden="1">{"Tab1",#N/A,FALSE,"P";"Tab2",#N/A,FALSE,"P"}</definedName>
    <definedName name="mmmm" localSheetId="55" hidden="1">{"Tab1",#N/A,FALSE,"P";"Tab2",#N/A,FALSE,"P"}</definedName>
    <definedName name="mmmm" localSheetId="56" hidden="1">{"Tab1",#N/A,FALSE,"P";"Tab2",#N/A,FALSE,"P"}</definedName>
    <definedName name="mmmm" hidden="1">{"Tab1",#N/A,FALSE,"P";"Tab2",#N/A,FALSE,"P"}</definedName>
    <definedName name="MON_SM" localSheetId="64">#REF!</definedName>
    <definedName name="MON_SM" localSheetId="1">#REF!</definedName>
    <definedName name="MON_SM">#REF!</definedName>
    <definedName name="MONF_SM" localSheetId="64">#REF!</definedName>
    <definedName name="MONF_SM" localSheetId="1">#REF!</definedName>
    <definedName name="MONF_SM">#REF!</definedName>
    <definedName name="MONTH" localSheetId="64">[5]REER!$D$140:$E$199</definedName>
    <definedName name="MONTH" localSheetId="56">[6]REER!$D$140:$E$199</definedName>
    <definedName name="MONTH">[22]REER!$D$140:$E$199</definedName>
    <definedName name="mstocksa" localSheetId="64">[19]!mstocksa</definedName>
    <definedName name="mstocksa" localSheetId="1">[19]!mstocksa</definedName>
    <definedName name="mstocksa" localSheetId="56">[19]!mstocksa</definedName>
    <definedName name="mstocksa">[19]!mstocksa</definedName>
    <definedName name="mstocksq" localSheetId="64">[19]!mstocksq</definedName>
    <definedName name="mstocksq" localSheetId="1">[19]!mstocksq</definedName>
    <definedName name="mstocksq" localSheetId="56">[19]!mstocksq</definedName>
    <definedName name="mstocksq">[19]!mstocksq</definedName>
    <definedName name="MTO" localSheetId="1">#REF!</definedName>
    <definedName name="MTO" localSheetId="14">#REF!</definedName>
    <definedName name="MTO" localSheetId="15">#REF!</definedName>
    <definedName name="MTO" localSheetId="16">#REF!</definedName>
    <definedName name="MTO" localSheetId="17">#REF!</definedName>
    <definedName name="MTO">#REF!</definedName>
    <definedName name="Municipios" localSheetId="64">#REF!</definedName>
    <definedName name="Municipios" localSheetId="1">#REF!</definedName>
    <definedName name="Municipios">#REF!</definedName>
    <definedName name="MVZ_1.5x" localSheetId="64">[30]Graf14_Graf15!#REF!</definedName>
    <definedName name="MVZ_1.5x">[30]Graf14_Graf15!#REF!</definedName>
    <definedName name="MVZ_4x" localSheetId="64">[30]Graf14_Graf15!#REF!</definedName>
    <definedName name="MVZ_4x">[30]Graf14_Graf15!#REF!</definedName>
    <definedName name="MVZ_5x" localSheetId="64">[30]Graf14_Graf15!#REF!</definedName>
    <definedName name="MVZ_5x">[30]Graf14_Graf15!#REF!</definedName>
    <definedName name="MW" localSheetId="64">[30]Graf14_Graf15!#REF!</definedName>
    <definedName name="MW">[30]Graf14_Graf15!#REF!</definedName>
    <definedName name="MW_2" localSheetId="64">[30]Graf14_Graf15!#REF!</definedName>
    <definedName name="MW_2">[30]Graf14_Graf15!#REF!</definedName>
    <definedName name="NACTCURRENT" localSheetId="64">#REF!</definedName>
    <definedName name="NACTCURRENT" localSheetId="1">#REF!</definedName>
    <definedName name="NACTCURRENT">#REF!</definedName>
    <definedName name="nam1out" localSheetId="64">#REF!</definedName>
    <definedName name="nam1out" localSheetId="1">#REF!</definedName>
    <definedName name="nam1out">#REF!</definedName>
    <definedName name="nam2in" localSheetId="64">#REF!</definedName>
    <definedName name="nam2in" localSheetId="1">#REF!</definedName>
    <definedName name="nam2in">#REF!</definedName>
    <definedName name="nam2out" localSheetId="64">#REF!</definedName>
    <definedName name="nam2out" localSheetId="1">#REF!</definedName>
    <definedName name="nam2out">#REF!</definedName>
    <definedName name="NAMB" localSheetId="64">[5]REER!$AY$143:$BB$143</definedName>
    <definedName name="NAMB" localSheetId="56">[6]REER!$AY$143:$BB$143</definedName>
    <definedName name="NAMB">[22]REER!$AY$143:$BB$143</definedName>
    <definedName name="namcr" localSheetId="64">'[2]Tab ann curr'!#REF!</definedName>
    <definedName name="namcr" localSheetId="1">'[2]Tab ann curr'!#REF!</definedName>
    <definedName name="namcr" localSheetId="56">'[2]Tab ann curr'!#REF!</definedName>
    <definedName name="namcr">'[2]Tab ann curr'!#REF!</definedName>
    <definedName name="namcs" localSheetId="64">'[2]Tab ann cst'!#REF!</definedName>
    <definedName name="namcs" localSheetId="1">'[2]Tab ann cst'!#REF!</definedName>
    <definedName name="namcs" localSheetId="56">'[2]Tab ann cst'!#REF!</definedName>
    <definedName name="namcs">'[2]Tab ann cst'!#REF!</definedName>
    <definedName name="name_AD">[39]Sheet1!$A$20</definedName>
    <definedName name="name_EXP">[39]Sheet1!$N$54:$N$71</definedName>
    <definedName name="name_FISC" localSheetId="64">#REF!</definedName>
    <definedName name="name_FISC" localSheetId="1">#REF!</definedName>
    <definedName name="name_FISC">#REF!</definedName>
    <definedName name="nameIntLiq" localSheetId="64">#REF!</definedName>
    <definedName name="nameIntLiq" localSheetId="1">#REF!</definedName>
    <definedName name="nameIntLiq">#REF!</definedName>
    <definedName name="nameMoney" localSheetId="64">#REF!</definedName>
    <definedName name="nameMoney" localSheetId="1">#REF!</definedName>
    <definedName name="nameMoney">#REF!</definedName>
    <definedName name="nameRATES" localSheetId="64">#REF!</definedName>
    <definedName name="nameRATES" localSheetId="1">#REF!</definedName>
    <definedName name="nameRATES">#REF!</definedName>
    <definedName name="nameRAWQ" localSheetId="64">'[40]Raw Data'!#REF!</definedName>
    <definedName name="nameRAWQ" localSheetId="1">'[40]Raw Data'!#REF!</definedName>
    <definedName name="nameRAWQ" localSheetId="56">'[40]Raw Data'!#REF!</definedName>
    <definedName name="nameRAWQ">'[40]Raw Data'!#REF!</definedName>
    <definedName name="nameReal" localSheetId="64">#REF!</definedName>
    <definedName name="nameReal" localSheetId="1">#REF!</definedName>
    <definedName name="nameReal">#REF!</definedName>
    <definedName name="names" localSheetId="64">#REF!</definedName>
    <definedName name="names" localSheetId="1">#REF!</definedName>
    <definedName name="names">#REF!</definedName>
    <definedName name="NAMES_fidr_r" localSheetId="64">[36]monthly!#REF!</definedName>
    <definedName name="NAMES_fidr_r" localSheetId="1">[37]monthly!#REF!</definedName>
    <definedName name="NAMES_fidr_r" localSheetId="56">[38]monthly!#REF!</definedName>
    <definedName name="NAMES_fidr_r">[37]monthly!#REF!</definedName>
    <definedName name="names_figb_r" localSheetId="64">[36]monthly!#REF!</definedName>
    <definedName name="names_figb_r" localSheetId="1">[37]monthly!#REF!</definedName>
    <definedName name="names_figb_r" localSheetId="56">[38]monthly!#REF!</definedName>
    <definedName name="names_figb_r">[37]monthly!#REF!</definedName>
    <definedName name="names_w" localSheetId="64">#REF!</definedName>
    <definedName name="names_w" localSheetId="1">#REF!</definedName>
    <definedName name="names_w">#REF!</definedName>
    <definedName name="names1in" localSheetId="64">#REF!</definedName>
    <definedName name="names1in" localSheetId="1">#REF!</definedName>
    <definedName name="names1in">#REF!</definedName>
    <definedName name="NAMESB" localSheetId="64">#REF!</definedName>
    <definedName name="NAMESB" localSheetId="1">#REF!</definedName>
    <definedName name="NAMESB" localSheetId="56">#REF!</definedName>
    <definedName name="NAMESB">#REF!</definedName>
    <definedName name="namesc" localSheetId="64">#REF!</definedName>
    <definedName name="namesc" localSheetId="1">#REF!</definedName>
    <definedName name="namesc">#REF!</definedName>
    <definedName name="NAMESG" localSheetId="64">#REF!</definedName>
    <definedName name="NAMESG" localSheetId="1">#REF!</definedName>
    <definedName name="NAMESG" localSheetId="56">#REF!</definedName>
    <definedName name="NAMESG">#REF!</definedName>
    <definedName name="namesm" localSheetId="64">#REF!</definedName>
    <definedName name="namesm" localSheetId="1">#REF!</definedName>
    <definedName name="namesm">#REF!</definedName>
    <definedName name="NAMESQ" localSheetId="64">#REF!</definedName>
    <definedName name="NAMESQ" localSheetId="1">#REF!</definedName>
    <definedName name="NAMESQ">#REF!</definedName>
    <definedName name="namesr" localSheetId="64">#REF!</definedName>
    <definedName name="namesr" localSheetId="1">#REF!</definedName>
    <definedName name="namesr">#REF!</definedName>
    <definedName name="namestran" localSheetId="64">[31]transfer!$C$1:$O$1</definedName>
    <definedName name="namestran" localSheetId="56">[32]transfer!$C$1:$O$1</definedName>
    <definedName name="namestran">[33]transfer!$C$1:$O$1</definedName>
    <definedName name="namgdp" localSheetId="64">#REF!</definedName>
    <definedName name="namgdp" localSheetId="1">#REF!</definedName>
    <definedName name="namgdp">#REF!</definedName>
    <definedName name="NAMIN" localSheetId="64">#REF!</definedName>
    <definedName name="NAMIN" localSheetId="1">#REF!</definedName>
    <definedName name="NAMIN">#REF!</definedName>
    <definedName name="namin1" localSheetId="64">[5]REER!$F$1:$BP$1</definedName>
    <definedName name="namin1" localSheetId="56">[6]REER!$F$1:$BP$1</definedName>
    <definedName name="namin1">[22]REER!$F$1:$BP$1</definedName>
    <definedName name="namin2" localSheetId="64">[5]REER!$F$138:$AA$138</definedName>
    <definedName name="namin2" localSheetId="56">[6]REER!$F$138:$AA$138</definedName>
    <definedName name="namin2">[22]REER!$F$138:$AA$138</definedName>
    <definedName name="namind" localSheetId="64">'[2]work Q real'!#REF!</definedName>
    <definedName name="namind" localSheetId="1">'[2]work Q real'!#REF!</definedName>
    <definedName name="namind" localSheetId="56">'[2]work Q real'!#REF!</definedName>
    <definedName name="namind">'[2]work Q real'!#REF!</definedName>
    <definedName name="naminm" localSheetId="64">#REF!</definedName>
    <definedName name="naminm" localSheetId="1">#REF!</definedName>
    <definedName name="naminm" localSheetId="56">#REF!</definedName>
    <definedName name="naminm">#REF!</definedName>
    <definedName name="naminq" localSheetId="64">#REF!</definedName>
    <definedName name="naminq" localSheetId="1">#REF!</definedName>
    <definedName name="naminq" localSheetId="56">#REF!</definedName>
    <definedName name="naminq">#REF!</definedName>
    <definedName name="namm" localSheetId="64">#REF!</definedName>
    <definedName name="namm" localSheetId="1">#REF!</definedName>
    <definedName name="namm" localSheetId="56">#REF!</definedName>
    <definedName name="namm">#REF!</definedName>
    <definedName name="NAMOUT" localSheetId="64">#REF!</definedName>
    <definedName name="NAMOUT" localSheetId="1">#REF!</definedName>
    <definedName name="NAMOUT">#REF!</definedName>
    <definedName name="namout1" localSheetId="64">[5]REER!$F$2:$AA$2</definedName>
    <definedName name="namout1" localSheetId="56">[6]REER!$F$2:$AA$2</definedName>
    <definedName name="namout1">[22]REER!$F$2:$AA$2</definedName>
    <definedName name="namoutm" localSheetId="64">#REF!</definedName>
    <definedName name="namoutm" localSheetId="1">#REF!</definedName>
    <definedName name="namoutm" localSheetId="56">#REF!</definedName>
    <definedName name="namoutm">#REF!</definedName>
    <definedName name="namoutq" localSheetId="64">#REF!</definedName>
    <definedName name="namoutq" localSheetId="1">#REF!</definedName>
    <definedName name="namoutq" localSheetId="56">#REF!</definedName>
    <definedName name="namoutq">#REF!</definedName>
    <definedName name="namprofit" localSheetId="64">[5]C!$O$1:$Z$1</definedName>
    <definedName name="namprofit" localSheetId="56">[6]C!$O$1:$Z$1</definedName>
    <definedName name="namprofit">[22]C!$O$1:$Z$1</definedName>
    <definedName name="namq" localSheetId="64">#REF!</definedName>
    <definedName name="namq" localSheetId="1">#REF!</definedName>
    <definedName name="namq">#REF!</definedName>
    <definedName name="namq1" localSheetId="64">#REF!</definedName>
    <definedName name="namq1" localSheetId="1">#REF!</definedName>
    <definedName name="namq1">#REF!</definedName>
    <definedName name="namq2" localSheetId="64">#REF!</definedName>
    <definedName name="namq2" localSheetId="1">#REF!</definedName>
    <definedName name="namq2">#REF!</definedName>
    <definedName name="namreer" localSheetId="64">[5]REER!$AY$143:$BF$143</definedName>
    <definedName name="namreer" localSheetId="56">[6]REER!$AY$143:$BF$143</definedName>
    <definedName name="namreer">[22]REER!$AY$143:$BF$143</definedName>
    <definedName name="namsgdp" localSheetId="64">#REF!</definedName>
    <definedName name="namsgdp" localSheetId="1">#REF!</definedName>
    <definedName name="namsgdp">#REF!</definedName>
    <definedName name="namtin" localSheetId="64">#REF!</definedName>
    <definedName name="namtin" localSheetId="1">#REF!</definedName>
    <definedName name="namtin">#REF!</definedName>
    <definedName name="namtout" localSheetId="64">#REF!</definedName>
    <definedName name="namtout" localSheetId="1">#REF!</definedName>
    <definedName name="namtout">#REF!</definedName>
    <definedName name="namulc" localSheetId="64">[5]REER!$BI$1:$BP$1</definedName>
    <definedName name="namulc" localSheetId="56">[6]REER!$BI$1:$BP$1</definedName>
    <definedName name="namulc">[22]REER!$BI$1:$BP$1</definedName>
    <definedName name="_xlnm.Print_Titles" localSheetId="64">#REF!,#REF!</definedName>
    <definedName name="_xlnm.Print_Titles" localSheetId="1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 localSheetId="64">[30]Graf14_Graf15!#REF!</definedName>
    <definedName name="NCZD">[30]Graf14_Graf15!#REF!</definedName>
    <definedName name="NCZD_2" localSheetId="64">[30]Graf14_Graf15!#REF!</definedName>
    <definedName name="NCZD_2">[30]Graf14_Graf15!#REF!</definedName>
    <definedName name="NEER" localSheetId="64">[5]REER!$AY$144:$AY$206</definedName>
    <definedName name="NEER" localSheetId="56">[6]REER!$AY$144:$AY$206</definedName>
    <definedName name="NEER">[22]REER!$AY$144:$AY$206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64">#REF!</definedName>
    <definedName name="NGDPA" localSheetId="1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64" hidden="1">{"Riqfin97",#N/A,FALSE,"Tran";"Riqfinpro",#N/A,FALSE,"Tran"}</definedName>
    <definedName name="nn" localSheetId="55" hidden="1">{"Riqfin97",#N/A,FALSE,"Tran";"Riqfinpro",#N/A,FALSE,"Tran"}</definedName>
    <definedName name="nn" localSheetId="56" hidden="1">{"Riqfin97",#N/A,FALSE,"Tran";"Riqfinpro",#N/A,FALSE,"Tran"}</definedName>
    <definedName name="nn" hidden="1">{"Riqfin97",#N/A,FALSE,"Tran";"Riqfinpro",#N/A,FALSE,"Tran"}</definedName>
    <definedName name="nnn" localSheetId="64" hidden="1">{"Tab1",#N/A,FALSE,"P";"Tab2",#N/A,FALSE,"P"}</definedName>
    <definedName name="nnn" localSheetId="55" hidden="1">{"Tab1",#N/A,FALSE,"P";"Tab2",#N/A,FALSE,"P"}</definedName>
    <definedName name="nnn" localSheetId="56" hidden="1">{"Tab1",#N/A,FALSE,"P";"Tab2",#N/A,FALSE,"P"}</definedName>
    <definedName name="nnn" hidden="1">{"Tab1",#N/A,FALSE,"P";"Tab2",#N/A,FALSE,"P"}</definedName>
    <definedName name="NOMINAL" localSheetId="64">#REF!</definedName>
    <definedName name="NOMINAL" localSheetId="1">#REF!</definedName>
    <definedName name="NOMINAL">#REF!</definedName>
    <definedName name="NPee_2" localSheetId="64">[30]Graf14_Graf15!#REF!</definedName>
    <definedName name="NPee_2">[30]Graf14_Graf15!#REF!</definedName>
    <definedName name="NPer_2" localSheetId="64">[30]Graf14_Graf15!#REF!</definedName>
    <definedName name="NPer_2">[30]Graf14_Graf15!#REF!</definedName>
    <definedName name="NTDD_RG" localSheetId="64">#N/A</definedName>
    <definedName name="NTDD_RG" localSheetId="56">'Graf 46 + 47'!NTDD_RG</definedName>
    <definedName name="NTDD_RG">[23]!NTDD_RG</definedName>
    <definedName name="NX">#N/A</definedName>
    <definedName name="NX_R">#N/A</definedName>
    <definedName name="NXG_RG">#N/A</definedName>
    <definedName name="_xlnm.Print_Area">#N/A</definedName>
    <definedName name="Odh" localSheetId="64">#REF!</definedName>
    <definedName name="Odh" localSheetId="1">#REF!</definedName>
    <definedName name="Odh">#REF!</definedName>
    <definedName name="oliu" hidden="1">{"WEO",#N/A,FALSE,"T"}</definedName>
    <definedName name="oo" localSheetId="64" hidden="1">{"Riqfin97",#N/A,FALSE,"Tran";"Riqfinpro",#N/A,FALSE,"Tran"}</definedName>
    <definedName name="oo" localSheetId="55" hidden="1">{"Riqfin97",#N/A,FALSE,"Tran";"Riqfinpro",#N/A,FALSE,"Tran"}</definedName>
    <definedName name="oo" localSheetId="56" hidden="1">{"Riqfin97",#N/A,FALSE,"Tran";"Riqfinpro",#N/A,FALSE,"Tran"}</definedName>
    <definedName name="oo" hidden="1">{"Riqfin97",#N/A,FALSE,"Tran";"Riqfinpro",#N/A,FALSE,"Tran"}</definedName>
    <definedName name="ooo" localSheetId="64" hidden="1">{"Tab1",#N/A,FALSE,"P";"Tab2",#N/A,FALSE,"P"}</definedName>
    <definedName name="ooo" localSheetId="55" hidden="1">{"Tab1",#N/A,FALSE,"P";"Tab2",#N/A,FALSE,"P"}</definedName>
    <definedName name="ooo" localSheetId="56" hidden="1">{"Tab1",#N/A,FALSE,"P";"Tab2",#N/A,FALSE,"P"}</definedName>
    <definedName name="ooo" hidden="1">{"Tab1",#N/A,FALSE,"P";"Tab2",#N/A,FALSE,"P"}</definedName>
    <definedName name="OS2015_new" localSheetId="64">#REF!</definedName>
    <definedName name="OS2015_new">#REF!</definedName>
    <definedName name="other" localSheetId="64">#REF!</definedName>
    <definedName name="other" localSheetId="1">#REF!</definedName>
    <definedName name="other" localSheetId="56">#REF!</definedName>
    <definedName name="other">#REF!</definedName>
    <definedName name="Otras_Residuales" localSheetId="64">#REF!</definedName>
    <definedName name="Otras_Residuales" localSheetId="1">#REF!</definedName>
    <definedName name="Otras_Residuales">#REF!</definedName>
    <definedName name="out">[63]output!$A$3:$P$128</definedName>
    <definedName name="OUTB" localSheetId="64">[31]B!$D$6:$H$6</definedName>
    <definedName name="OUTB" localSheetId="56">[32]B!$D$6:$H$6</definedName>
    <definedName name="OUTB">[33]B!$D$6:$H$6</definedName>
    <definedName name="outc" localSheetId="64">[31]C!$C$6:$D$6</definedName>
    <definedName name="outc" localSheetId="56">[32]C!$C$6:$D$6</definedName>
    <definedName name="outc">[33]C!$C$6:$D$6</definedName>
    <definedName name="output" localSheetId="64">#REF!</definedName>
    <definedName name="output" localSheetId="1">#REF!</definedName>
    <definedName name="output">#REF!</definedName>
    <definedName name="output_projections">[64]projections!$A$3:$R$108</definedName>
    <definedName name="output1">[27]output!$A$1:$J$122</definedName>
    <definedName name="p" localSheetId="64" hidden="1">{"Riqfin97",#N/A,FALSE,"Tran";"Riqfinpro",#N/A,FALSE,"Tran"}</definedName>
    <definedName name="p" localSheetId="55" hidden="1">{"Riqfin97",#N/A,FALSE,"Tran";"Riqfinpro",#N/A,FALSE,"Tran"}</definedName>
    <definedName name="p" localSheetId="56" hidden="1">{"Riqfin97",#N/A,FALSE,"Tran";"Riqfinpro",#N/A,FALSE,"Tran"}</definedName>
    <definedName name="p" hidden="1">{"Riqfin97",#N/A,FALSE,"Tran";"Riqfinpro",#N/A,FALSE,"Tran"}</definedName>
    <definedName name="Page_4" localSheetId="64">#REF!</definedName>
    <definedName name="Page_4" localSheetId="1">#REF!</definedName>
    <definedName name="Page_4" localSheetId="56">#REF!</definedName>
    <definedName name="Page_4">#REF!</definedName>
    <definedName name="page2" localSheetId="64">#REF!</definedName>
    <definedName name="page2" localSheetId="1">#REF!</definedName>
    <definedName name="page2" localSheetId="56">#REF!</definedName>
    <definedName name="page2">#REF!</definedName>
    <definedName name="pata" localSheetId="64" hidden="1">{"Tab1",#N/A,FALSE,"P";"Tab2",#N/A,FALSE,"P"}</definedName>
    <definedName name="pata" localSheetId="55" hidden="1">{"Tab1",#N/A,FALSE,"P";"Tab2",#N/A,FALSE,"P"}</definedName>
    <definedName name="pata" localSheetId="56" hidden="1">{"Tab1",#N/A,FALSE,"P";"Tab2",#N/A,FALSE,"P"}</definedName>
    <definedName name="pata" hidden="1">{"Tab1",#N/A,FALSE,"P";"Tab2",#N/A,FALSE,"P"}</definedName>
    <definedName name="PCPIG">#N/A</definedName>
    <definedName name="Petroecuador" localSheetId="64">#REF!</definedName>
    <definedName name="Petroecuador" localSheetId="1">#REF!</definedName>
    <definedName name="Petroecuador">#REF!</definedName>
    <definedName name="pchar00memu.m" localSheetId="64">[36]monthly!#REF!</definedName>
    <definedName name="pchar00memu.m" localSheetId="1">[37]monthly!#REF!</definedName>
    <definedName name="pchar00memu.m" localSheetId="56">[38]monthly!#REF!</definedName>
    <definedName name="pchar00memu.m">[37]monthly!#REF!</definedName>
    <definedName name="podatki" localSheetId="64">#REF!</definedName>
    <definedName name="podatki" localSheetId="1">#REF!</definedName>
    <definedName name="podatki">#REF!</definedName>
    <definedName name="Ports" localSheetId="64">#REF!</definedName>
    <definedName name="Ports" localSheetId="1">#REF!</definedName>
    <definedName name="Ports">#REF!</definedName>
    <definedName name="pp" localSheetId="64" hidden="1">{"Riqfin97",#N/A,FALSE,"Tran";"Riqfinpro",#N/A,FALSE,"Tran"}</definedName>
    <definedName name="pp" localSheetId="55" hidden="1">{"Riqfin97",#N/A,FALSE,"Tran";"Riqfinpro",#N/A,FALSE,"Tran"}</definedName>
    <definedName name="pp" localSheetId="56" hidden="1">{"Riqfin97",#N/A,FALSE,"Tran";"Riqfinpro",#N/A,FALSE,"Tran"}</definedName>
    <definedName name="pp" hidden="1">{"Riqfin97",#N/A,FALSE,"Tran";"Riqfinpro",#N/A,FALSE,"Tran"}</definedName>
    <definedName name="ppp" localSheetId="64" hidden="1">{"Riqfin97",#N/A,FALSE,"Tran";"Riqfinpro",#N/A,FALSE,"Tran"}</definedName>
    <definedName name="ppp" localSheetId="55" hidden="1">{"Riqfin97",#N/A,FALSE,"Tran";"Riqfinpro",#N/A,FALSE,"Tran"}</definedName>
    <definedName name="ppp" localSheetId="56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64">#REF!</definedName>
    <definedName name="pri" localSheetId="1">#REF!</definedName>
    <definedName name="pri">#REF!</definedName>
    <definedName name="Print" localSheetId="64">#REF!</definedName>
    <definedName name="Print" localSheetId="1">#REF!</definedName>
    <definedName name="Print" localSheetId="56">#REF!</definedName>
    <definedName name="Print">#REF!</definedName>
    <definedName name="PRINT1" localSheetId="64">[65]Index!#REF!</definedName>
    <definedName name="PRINT1" localSheetId="1">[65]Index!#REF!</definedName>
    <definedName name="PRINT1" localSheetId="56">[65]Index!#REF!</definedName>
    <definedName name="PRINT1">[65]Index!#REF!</definedName>
    <definedName name="PRINT2" localSheetId="64">[65]Index!#REF!</definedName>
    <definedName name="PRINT2" localSheetId="1">[65]Index!#REF!</definedName>
    <definedName name="PRINT2" localSheetId="56">[65]Index!#REF!</definedName>
    <definedName name="PRINT2">[65]Index!#REF!</definedName>
    <definedName name="PRINT3" localSheetId="64">[65]Index!#REF!</definedName>
    <definedName name="PRINT3" localSheetId="1">[65]Index!#REF!</definedName>
    <definedName name="PRINT3" localSheetId="56">[65]Index!#REF!</definedName>
    <definedName name="PRINT3">[65]Index!#REF!</definedName>
    <definedName name="PrintThis_Links">[52]Links!$A$1:$F$33</definedName>
    <definedName name="profit" localSheetId="64">[5]C!$O$1:$T$1</definedName>
    <definedName name="profit" localSheetId="56">[6]C!$O$1:$T$1</definedName>
    <definedName name="profit">[22]C!$O$1:$T$1</definedName>
    <definedName name="prorač" localSheetId="64">[66]Prorač!$1:$1048576</definedName>
    <definedName name="prorač">[66]Prorač!$A:$IV</definedName>
    <definedName name="PvNee_2" localSheetId="64">[30]Graf14_Graf15!#REF!</definedName>
    <definedName name="PvNee_2">[30]Graf14_Graf15!#REF!</definedName>
    <definedName name="PvNer_2" localSheetId="64">[30]Graf14_Graf15!#REF!</definedName>
    <definedName name="PvNer_2">[30]Graf14_Graf15!#REF!</definedName>
    <definedName name="Q6_" localSheetId="64">#REF!</definedName>
    <definedName name="Q6_" localSheetId="1">#REF!</definedName>
    <definedName name="Q6_">#REF!</definedName>
    <definedName name="QFISCAL" localSheetId="64">'[3]Quarterly Raw Data'!#REF!</definedName>
    <definedName name="QFISCAL" localSheetId="1">'[3]Quarterly Raw Data'!#REF!</definedName>
    <definedName name="QFISCAL" localSheetId="56">'[3]Quarterly Raw Data'!#REF!</definedName>
    <definedName name="QFISCAL">'[3]Quarterly Raw Data'!#REF!</definedName>
    <definedName name="qq" localSheetId="64" hidden="1">'[58]J(Priv.Cap)'!#REF!</definedName>
    <definedName name="qq" localSheetId="1" hidden="1">'[58]J(Priv.Cap)'!#REF!</definedName>
    <definedName name="qq" localSheetId="55" hidden="1">'[58]J(Priv.Cap)'!#REF!</definedName>
    <definedName name="qq" localSheetId="56" hidden="1">'[58]J(Priv.Cap)'!#REF!</definedName>
    <definedName name="qq" hidden="1">'[58]J(Priv.Cap)'!#REF!</definedName>
    <definedName name="qtab_35" localSheetId="64">'[67]i1-CA'!#REF!</definedName>
    <definedName name="qtab_35" localSheetId="1">'[67]i1-CA'!#REF!</definedName>
    <definedName name="qtab_35" localSheetId="56">'[67]i1-CA'!#REF!</definedName>
    <definedName name="qtab_35">'[67]i1-CA'!#REF!</definedName>
    <definedName name="QTAB7" localSheetId="64">'[3]Quarterly MacroFlow'!#REF!</definedName>
    <definedName name="QTAB7" localSheetId="1">'[3]Quarterly MacroFlow'!#REF!</definedName>
    <definedName name="QTAB7" localSheetId="56">'[3]Quarterly MacroFlow'!#REF!</definedName>
    <definedName name="QTAB7">'[3]Quarterly MacroFlow'!#REF!</definedName>
    <definedName name="QTAB7A" localSheetId="64">'[3]Quarterly MacroFlow'!#REF!</definedName>
    <definedName name="QTAB7A" localSheetId="1">'[3]Quarterly MacroFlow'!#REF!</definedName>
    <definedName name="QTAB7A" localSheetId="56">'[3]Quarterly MacroFlow'!#REF!</definedName>
    <definedName name="QTAB7A">'[3]Quarterly MacroFlow'!#REF!</definedName>
    <definedName name="quest1" localSheetId="64">#REF!</definedName>
    <definedName name="quest1" localSheetId="1">#REF!</definedName>
    <definedName name="quest1">#REF!</definedName>
    <definedName name="quest2" localSheetId="64">#REF!</definedName>
    <definedName name="quest2" localSheetId="1">#REF!</definedName>
    <definedName name="quest2">#REF!</definedName>
    <definedName name="quest3" localSheetId="64">#REF!</definedName>
    <definedName name="quest3" localSheetId="1">#REF!</definedName>
    <definedName name="quest3">#REF!</definedName>
    <definedName name="quest4" localSheetId="64">#REF!</definedName>
    <definedName name="quest4" localSheetId="1">#REF!</definedName>
    <definedName name="quest4">#REF!</definedName>
    <definedName name="quest5" localSheetId="64">#REF!</definedName>
    <definedName name="quest5" localSheetId="1">#REF!</definedName>
    <definedName name="quest5">#REF!</definedName>
    <definedName name="quest6" localSheetId="64">#REF!</definedName>
    <definedName name="quest6" localSheetId="1">#REF!</definedName>
    <definedName name="quest6">#REF!</definedName>
    <definedName name="quest7" localSheetId="64">#REF!</definedName>
    <definedName name="quest7" localSheetId="1">#REF!</definedName>
    <definedName name="quest7">#REF!</definedName>
    <definedName name="QW" localSheetId="64">#REF!</definedName>
    <definedName name="QW" localSheetId="1">#REF!</definedName>
    <definedName name="QW">#REF!</definedName>
    <definedName name="REAL" localSheetId="64">#REF!</definedName>
    <definedName name="REAL" localSheetId="1">#REF!</definedName>
    <definedName name="REAL">#REF!</definedName>
    <definedName name="REALANNUAL" localSheetId="64">#REF!</definedName>
    <definedName name="REALANNUAL" localSheetId="1">#REF!</definedName>
    <definedName name="REALANNUAL">#REF!</definedName>
    <definedName name="realizacia">[68]Sheet1!$A$1:$I$406</definedName>
    <definedName name="realizacija">[68]Sheet1!$A$1:$I$406</definedName>
    <definedName name="REALNACT" localSheetId="64">#REF!</definedName>
    <definedName name="REALNACT" localSheetId="1">#REF!</definedName>
    <definedName name="REALNACT">#REF!</definedName>
    <definedName name="red_26" localSheetId="64">#REF!</definedName>
    <definedName name="red_26" localSheetId="1">#REF!</definedName>
    <definedName name="red_26">#REF!</definedName>
    <definedName name="red_33" localSheetId="64">#REF!</definedName>
    <definedName name="red_33" localSheetId="1">#REF!</definedName>
    <definedName name="red_33">#REF!</definedName>
    <definedName name="red_34" localSheetId="64">#REF!</definedName>
    <definedName name="red_34" localSheetId="1">#REF!</definedName>
    <definedName name="red_34">#REF!</definedName>
    <definedName name="red_35" localSheetId="64">#REF!</definedName>
    <definedName name="red_35" localSheetId="1">#REF!</definedName>
    <definedName name="red_35">#REF!</definedName>
    <definedName name="REDTbl3" localSheetId="64">#REF!</definedName>
    <definedName name="REDTbl3" localSheetId="1">#REF!</definedName>
    <definedName name="REDTbl3">#REF!</definedName>
    <definedName name="REDTbl4" localSheetId="64">#REF!</definedName>
    <definedName name="REDTbl4" localSheetId="1">#REF!</definedName>
    <definedName name="REDTbl4">#REF!</definedName>
    <definedName name="REDTbl5" localSheetId="64">#REF!</definedName>
    <definedName name="REDTbl5" localSheetId="1">#REF!</definedName>
    <definedName name="REDTbl5">#REF!</definedName>
    <definedName name="REDTbl6" localSheetId="64">#REF!</definedName>
    <definedName name="REDTbl6" localSheetId="1">#REF!</definedName>
    <definedName name="REDTbl6">#REF!</definedName>
    <definedName name="REDTbl7" localSheetId="64">#REF!</definedName>
    <definedName name="REDTbl7" localSheetId="1">#REF!</definedName>
    <definedName name="REDTbl7">#REF!</definedName>
    <definedName name="REERCPI" localSheetId="64">[5]REER!$AZ$144:$AZ$206</definedName>
    <definedName name="REERCPI" localSheetId="56">[6]REER!$AZ$144:$AZ$206</definedName>
    <definedName name="REERCPI">[22]REER!$AZ$144:$AZ$206</definedName>
    <definedName name="REERPPI" localSheetId="64">[5]REER!$BB$144:$BB$206</definedName>
    <definedName name="REERPPI" localSheetId="56">[6]REER!$BB$144:$BB$206</definedName>
    <definedName name="REERPPI">[22]REER!$BB$144:$BB$206</definedName>
    <definedName name="RefVintage">[34]readme!$B$4</definedName>
    <definedName name="REGISTERALL" localSheetId="64">#REF!</definedName>
    <definedName name="REGISTERALL" localSheetId="1">#REF!</definedName>
    <definedName name="REGISTERALL">#REF!</definedName>
    <definedName name="RFSee_2" localSheetId="64">[30]Graf14_Graf15!#REF!</definedName>
    <definedName name="RFSee_2">[30]Graf14_Graf15!#REF!</definedName>
    <definedName name="RFSer_2" localSheetId="64">[30]Graf14_Graf15!#REF!</definedName>
    <definedName name="RFSer_2">[30]Graf14_Graf15!#REF!</definedName>
    <definedName name="RGDPA" localSheetId="64">#REF!</definedName>
    <definedName name="RGDPA" localSheetId="1">#REF!</definedName>
    <definedName name="RGDPA">#REF!</definedName>
    <definedName name="RgFdPartCsource" localSheetId="64">#REF!</definedName>
    <definedName name="RgFdPartCsource" localSheetId="1">#REF!</definedName>
    <definedName name="RgFdPartCsource" localSheetId="56">#REF!</definedName>
    <definedName name="RgFdPartCsource">#REF!</definedName>
    <definedName name="RgFdPartEseries" localSheetId="64">#REF!</definedName>
    <definedName name="RgFdPartEseries" localSheetId="1">#REF!</definedName>
    <definedName name="RgFdPartEseries" localSheetId="56">#REF!</definedName>
    <definedName name="RgFdPartEseries">#REF!</definedName>
    <definedName name="RgFdPartEsource" localSheetId="64">#REF!</definedName>
    <definedName name="RgFdPartEsource" localSheetId="1">#REF!</definedName>
    <definedName name="RgFdPartEsource" localSheetId="56">#REF!</definedName>
    <definedName name="RgFdPartEsource">#REF!</definedName>
    <definedName name="RgFdReptCSeries" localSheetId="64">#REF!</definedName>
    <definedName name="RgFdReptCSeries" localSheetId="1">#REF!</definedName>
    <definedName name="RgFdReptCSeries" localSheetId="56">#REF!</definedName>
    <definedName name="RgFdReptCSeries">#REF!</definedName>
    <definedName name="RgFdReptCsource" localSheetId="64">#REF!</definedName>
    <definedName name="RgFdReptCsource" localSheetId="1">#REF!</definedName>
    <definedName name="RgFdReptCsource" localSheetId="56">#REF!</definedName>
    <definedName name="RgFdReptCsource">#REF!</definedName>
    <definedName name="RgFdReptEseries" localSheetId="64">#REF!</definedName>
    <definedName name="RgFdReptEseries" localSheetId="1">#REF!</definedName>
    <definedName name="RgFdReptEseries" localSheetId="56">#REF!</definedName>
    <definedName name="RgFdReptEseries">#REF!</definedName>
    <definedName name="RgFdReptEsource" localSheetId="64">#REF!</definedName>
    <definedName name="RgFdReptEsource" localSheetId="1">#REF!</definedName>
    <definedName name="RgFdReptEsource" localSheetId="56">#REF!</definedName>
    <definedName name="RgFdReptEsource">#REF!</definedName>
    <definedName name="RgFdSAMethod" localSheetId="64">#REF!</definedName>
    <definedName name="RgFdSAMethod" localSheetId="1">#REF!</definedName>
    <definedName name="RgFdSAMethod" localSheetId="56">#REF!</definedName>
    <definedName name="RgFdSAMethod">#REF!</definedName>
    <definedName name="RgFdTbBper" localSheetId="64">#REF!</definedName>
    <definedName name="RgFdTbBper" localSheetId="1">#REF!</definedName>
    <definedName name="RgFdTbBper" localSheetId="56">#REF!</definedName>
    <definedName name="RgFdTbBper">#REF!</definedName>
    <definedName name="RgFdTbCreate" localSheetId="64">#REF!</definedName>
    <definedName name="RgFdTbCreate" localSheetId="1">#REF!</definedName>
    <definedName name="RgFdTbCreate" localSheetId="56">#REF!</definedName>
    <definedName name="RgFdTbCreate">#REF!</definedName>
    <definedName name="RgFdTbEper" localSheetId="64">#REF!</definedName>
    <definedName name="RgFdTbEper" localSheetId="1">#REF!</definedName>
    <definedName name="RgFdTbEper" localSheetId="56">#REF!</definedName>
    <definedName name="RgFdTbEper">#REF!</definedName>
    <definedName name="RGFdTbFoot" localSheetId="64">#REF!</definedName>
    <definedName name="RGFdTbFoot" localSheetId="1">#REF!</definedName>
    <definedName name="RGFdTbFoot" localSheetId="56">#REF!</definedName>
    <definedName name="RGFdTbFoot">#REF!</definedName>
    <definedName name="RgFdTbFreq" localSheetId="64">#REF!</definedName>
    <definedName name="RgFdTbFreq" localSheetId="1">#REF!</definedName>
    <definedName name="RgFdTbFreq" localSheetId="56">#REF!</definedName>
    <definedName name="RgFdTbFreq">#REF!</definedName>
    <definedName name="RgFdTbFreqVal" localSheetId="64">#REF!</definedName>
    <definedName name="RgFdTbFreqVal" localSheetId="1">#REF!</definedName>
    <definedName name="RgFdTbFreqVal" localSheetId="56">#REF!</definedName>
    <definedName name="RgFdTbFreqVal">#REF!</definedName>
    <definedName name="RgFdTbSendto" localSheetId="64">#REF!</definedName>
    <definedName name="RgFdTbSendto" localSheetId="1">#REF!</definedName>
    <definedName name="RgFdTbSendto" localSheetId="56">#REF!</definedName>
    <definedName name="RgFdTbSendto">#REF!</definedName>
    <definedName name="RgFdWgtMethod" localSheetId="64">#REF!</definedName>
    <definedName name="RgFdWgtMethod" localSheetId="1">#REF!</definedName>
    <definedName name="RgFdWgtMethod" localSheetId="56">#REF!</definedName>
    <definedName name="RgFdWgtMethod">#REF!</definedName>
    <definedName name="RGSPA" localSheetId="64">#REF!</definedName>
    <definedName name="RGSPA" localSheetId="1">#REF!</definedName>
    <definedName name="RGSPA" localSheetId="56">#REF!</definedName>
    <definedName name="RGSPA">#REF!</definedName>
    <definedName name="rngBefore">[52]Main!$AB$26</definedName>
    <definedName name="rngDepartmentDrive">[52]Main!$AB$23</definedName>
    <definedName name="rngEMailAddress">[52]Main!$AB$20</definedName>
    <definedName name="rngErrorSort">[52]ErrCheck!$A$4</definedName>
    <definedName name="rngLastSave">[52]Main!$G$19</definedName>
    <definedName name="rngLastSent">[52]Main!$G$18</definedName>
    <definedName name="rngLastUpdate">[52]Links!$D$2</definedName>
    <definedName name="rngNeedsUpdate">[52]Links!$E$2</definedName>
    <definedName name="rngNews">[52]Main!$AB$27</definedName>
    <definedName name="rngQuestChecked">[52]ErrCheck!$A$3</definedName>
    <definedName name="rounding" localSheetId="64">[30]Graf14_Graf15!#REF!</definedName>
    <definedName name="rounding">[30]Graf14_Graf15!#REF!</definedName>
    <definedName name="rr" localSheetId="64" hidden="1">{"Riqfin97",#N/A,FALSE,"Tran";"Riqfinpro",#N/A,FALSE,"Tran"}</definedName>
    <definedName name="rr" localSheetId="55" hidden="1">{"Riqfin97",#N/A,FALSE,"Tran";"Riqfinpro",#N/A,FALSE,"Tran"}</definedName>
    <definedName name="rr" localSheetId="56" hidden="1">{"Riqfin97",#N/A,FALSE,"Tran";"Riqfinpro",#N/A,FALSE,"Tran"}</definedName>
    <definedName name="rr" hidden="1">{"Riqfin97",#N/A,FALSE,"Tran";"Riqfinpro",#N/A,FALSE,"Tran"}</definedName>
    <definedName name="rrr" localSheetId="64" hidden="1">{"Riqfin97",#N/A,FALSE,"Tran";"Riqfinpro",#N/A,FALSE,"Tran"}</definedName>
    <definedName name="rrr" localSheetId="55" hidden="1">{"Riqfin97",#N/A,FALSE,"Tran";"Riqfinpro",#N/A,FALSE,"Tran"}</definedName>
    <definedName name="rrr" localSheetId="56" hidden="1">{"Riqfin97",#N/A,FALSE,"Tran";"Riqfinpro",#N/A,FALSE,"Tran"}</definedName>
    <definedName name="rrr" hidden="1">{"Riqfin97",#N/A,FALSE,"Tran";"Riqfinpro",#N/A,FALSE,"Tran"}</definedName>
    <definedName name="RULCPPI" localSheetId="64">[5]C!$O$9:$O$71</definedName>
    <definedName name="RULCPPI" localSheetId="56">[6]C!$O$9:$O$71</definedName>
    <definedName name="RULCPPI">[22]C!$O$9:$O$71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 localSheetId="64">#REF!</definedName>
    <definedName name="SECTORS" localSheetId="1">#REF!</definedName>
    <definedName name="SECTORS">#REF!</definedName>
    <definedName name="seitable" localSheetId="64">'[69]Sel. Ind. Tbl'!$A$3:$G$75</definedName>
    <definedName name="seitable" localSheetId="56">'[70]Sel. Ind. Tbl'!$A$3:$G$75</definedName>
    <definedName name="seitable">'[71]Sel. Ind. Tbl'!$A$3:$G$75</definedName>
    <definedName name="sencount" hidden="1">2</definedName>
    <definedName name="SPee_2" localSheetId="64">[30]Graf14_Graf15!#REF!</definedName>
    <definedName name="SPee_2">[30]Graf14_Graf15!#REF!</definedName>
    <definedName name="SPer_2" localSheetId="64">[30]Graf14_Graf15!#REF!</definedName>
    <definedName name="SPer_2">[30]Graf14_Graf15!#REF!</definedName>
    <definedName name="SprejetiProracun" localSheetId="64">#REF!</definedName>
    <definedName name="SprejetiProracun" localSheetId="1">#REF!</definedName>
    <definedName name="SprejetiProracun" localSheetId="56">#REF!</definedName>
    <definedName name="SprejetiProracun">#REF!</definedName>
    <definedName name="SR_3" localSheetId="64">#REF!</definedName>
    <definedName name="SR_3" localSheetId="1">#REF!</definedName>
    <definedName name="SR_3">#REF!</definedName>
    <definedName name="SR_5" localSheetId="64">#REF!</definedName>
    <definedName name="SR_5" localSheetId="1">#REF!</definedName>
    <definedName name="SR_5">#REF!</definedName>
    <definedName name="SS">[72]IMATA!$B$45:$B$108</definedName>
    <definedName name="StatusTable">[34]readme!$A$12:$B$21</definedName>
    <definedName name="T1.13" localSheetId="64">#REF!</definedName>
    <definedName name="T1.13" localSheetId="1">#REF!</definedName>
    <definedName name="T1.13">#REF!</definedName>
    <definedName name="t2q" localSheetId="64">#REF!</definedName>
    <definedName name="t2q" localSheetId="1">#REF!</definedName>
    <definedName name="t2q" localSheetId="56">#REF!</definedName>
    <definedName name="t2q">#REF!</definedName>
    <definedName name="TAB1A" localSheetId="64">#REF!</definedName>
    <definedName name="TAB1A" localSheetId="1">#REF!</definedName>
    <definedName name="TAB1A">#REF!</definedName>
    <definedName name="TAB1CK" localSheetId="64">#REF!</definedName>
    <definedName name="TAB1CK" localSheetId="1">#REF!</definedName>
    <definedName name="TAB1CK">#REF!</definedName>
    <definedName name="Tab25a" localSheetId="64">#REF!</definedName>
    <definedName name="Tab25a" localSheetId="1">#REF!</definedName>
    <definedName name="Tab25a">#REF!</definedName>
    <definedName name="Tab25b" localSheetId="64">#REF!</definedName>
    <definedName name="Tab25b" localSheetId="1">#REF!</definedName>
    <definedName name="Tab25b">#REF!</definedName>
    <definedName name="TAB2A" localSheetId="64">#REF!</definedName>
    <definedName name="TAB2A" localSheetId="1">#REF!</definedName>
    <definedName name="TAB2A">#REF!</definedName>
    <definedName name="TAB5A" localSheetId="64">#REF!</definedName>
    <definedName name="TAB5A" localSheetId="1">#REF!</definedName>
    <definedName name="TAB5A">#REF!</definedName>
    <definedName name="TAB6A" localSheetId="64">'[3]Annual Tables'!#REF!</definedName>
    <definedName name="TAB6A" localSheetId="1">'[3]Annual Tables'!#REF!</definedName>
    <definedName name="TAB6A" localSheetId="56">'[3]Annual Tables'!#REF!</definedName>
    <definedName name="TAB6A">'[3]Annual Tables'!#REF!</definedName>
    <definedName name="TAB6B" localSheetId="64">'[3]Annual Tables'!#REF!</definedName>
    <definedName name="TAB6B" localSheetId="1">'[3]Annual Tables'!#REF!</definedName>
    <definedName name="TAB6B" localSheetId="56">'[3]Annual Tables'!#REF!</definedName>
    <definedName name="TAB6B">'[3]Annual Tables'!#REF!</definedName>
    <definedName name="TAB6C" localSheetId="64">#REF!</definedName>
    <definedName name="TAB6C" localSheetId="1">#REF!</definedName>
    <definedName name="TAB6C">#REF!</definedName>
    <definedName name="TAB7A" localSheetId="64">#REF!</definedName>
    <definedName name="TAB7A" localSheetId="1">#REF!</definedName>
    <definedName name="TAB7A">#REF!</definedName>
    <definedName name="tabC1" localSheetId="64">#REF!</definedName>
    <definedName name="tabC1" localSheetId="1">#REF!</definedName>
    <definedName name="tabC1">#REF!</definedName>
    <definedName name="tabC2" localSheetId="64">#REF!</definedName>
    <definedName name="tabC2" localSheetId="1">#REF!</definedName>
    <definedName name="tabC2">#REF!</definedName>
    <definedName name="Tabela_6a" localSheetId="64">#REF!</definedName>
    <definedName name="Tabela_6a" localSheetId="1">#REF!</definedName>
    <definedName name="Tabela_6a">#REF!</definedName>
    <definedName name="tabela3a" localSheetId="64">'[73]Table 1'!#REF!</definedName>
    <definedName name="tabela3a" localSheetId="1">'[73]Table 1'!#REF!</definedName>
    <definedName name="tabela3a" localSheetId="56">'[73]Table 1'!#REF!</definedName>
    <definedName name="tabela3a">'[73]Table 1'!#REF!</definedName>
    <definedName name="Tabelaxx" localSheetId="64">#REF!</definedName>
    <definedName name="Tabelaxx" localSheetId="1">#REF!</definedName>
    <definedName name="Tabelaxx">#REF!</definedName>
    <definedName name="tabF" localSheetId="64">#REF!</definedName>
    <definedName name="tabF" localSheetId="1">#REF!</definedName>
    <definedName name="tabF">#REF!</definedName>
    <definedName name="tabH" localSheetId="64">#REF!</definedName>
    <definedName name="tabH" localSheetId="1">#REF!</definedName>
    <definedName name="tabH">#REF!</definedName>
    <definedName name="tabI" localSheetId="64">#REF!</definedName>
    <definedName name="tabI" localSheetId="1">#REF!</definedName>
    <definedName name="tabI">#REF!</definedName>
    <definedName name="Table__47">[74]RED47!$A$1:$I$53</definedName>
    <definedName name="Table_2._Country_X___Public_Sector_Financing_1" localSheetId="64">#REF!</definedName>
    <definedName name="Table_2._Country_X___Public_Sector_Financing_1" localSheetId="1">#REF!</definedName>
    <definedName name="Table_2._Country_X___Public_Sector_Financing_1">#REF!</definedName>
    <definedName name="Table_4SR" localSheetId="64">#REF!</definedName>
    <definedName name="Table_4SR" localSheetId="1">#REF!</definedName>
    <definedName name="Table_4SR">#REF!</definedName>
    <definedName name="Table_debt">[75]Table!$A$3:$AB$73</definedName>
    <definedName name="TABLE1" localSheetId="64">#REF!</definedName>
    <definedName name="TABLE1" localSheetId="1">#REF!</definedName>
    <definedName name="TABLE1">#REF!</definedName>
    <definedName name="Table1printarea" localSheetId="64">#REF!</definedName>
    <definedName name="Table1printarea" localSheetId="1">#REF!</definedName>
    <definedName name="Table1printarea">#REF!</definedName>
    <definedName name="table30" localSheetId="64">#REF!</definedName>
    <definedName name="table30" localSheetId="1">#REF!</definedName>
    <definedName name="table30">#REF!</definedName>
    <definedName name="TABLE31" localSheetId="64">#REF!</definedName>
    <definedName name="TABLE31" localSheetId="1">#REF!</definedName>
    <definedName name="TABLE31">#REF!</definedName>
    <definedName name="TABLE32" localSheetId="64">#REF!</definedName>
    <definedName name="TABLE32" localSheetId="1">#REF!</definedName>
    <definedName name="TABLE32">#REF!</definedName>
    <definedName name="TABLE33" localSheetId="64">#REF!</definedName>
    <definedName name="TABLE33" localSheetId="1">#REF!</definedName>
    <definedName name="TABLE33">#REF!</definedName>
    <definedName name="TABLE4" localSheetId="64">#REF!</definedName>
    <definedName name="TABLE4" localSheetId="1">#REF!</definedName>
    <definedName name="TABLE4">#REF!</definedName>
    <definedName name="table6" localSheetId="64">#REF!</definedName>
    <definedName name="table6" localSheetId="1">#REF!</definedName>
    <definedName name="table6" localSheetId="56">#REF!</definedName>
    <definedName name="table6">#REF!</definedName>
    <definedName name="table9" localSheetId="64">#REF!</definedName>
    <definedName name="table9" localSheetId="1">#REF!</definedName>
    <definedName name="table9" localSheetId="56">#REF!</definedName>
    <definedName name="table9">#REF!</definedName>
    <definedName name="TAME" localSheetId="64">#REF!</definedName>
    <definedName name="TAME" localSheetId="1">#REF!</definedName>
    <definedName name="TAME">#REF!</definedName>
    <definedName name="Tbl_GFN">[75]Table_GEF!$B$2:$T$53</definedName>
    <definedName name="tblChecks">[52]ErrCheck!$A$3:$E$5</definedName>
    <definedName name="tblLinks">[52]Links!$A$4:$F$33</definedName>
    <definedName name="TEMP" localSheetId="64">[76]Data!#REF!</definedName>
    <definedName name="TEMP" localSheetId="1">[76]Data!#REF!</definedName>
    <definedName name="TEMP" localSheetId="56">[76]Data!#REF!</definedName>
    <definedName name="TEMP">[76]Data!#REF!</definedName>
    <definedName name="tempo_kles" localSheetId="64">[30]Graf14_Graf15!#REF!</definedName>
    <definedName name="tempo_kles">[30]Graf14_Graf15!#REF!</definedName>
    <definedName name="tempo_kles_2" localSheetId="64">[30]Graf14_Graf15!#REF!</definedName>
    <definedName name="tempo_kles_2">[30]Graf14_Graf15!#REF!</definedName>
    <definedName name="text" hidden="1">{#N/A,#N/A,FALSE,"CB";#N/A,#N/A,FALSE,"CMB";#N/A,#N/A,FALSE,"BSYS";#N/A,#N/A,FALSE,"NBFI";#N/A,#N/A,FALSE,"FSYS"}</definedName>
    <definedName name="TMG_D">[29]Q5!$E$23:$AH$23</definedName>
    <definedName name="TMGO">#N/A</definedName>
    <definedName name="TOWEO" localSheetId="64">#REF!</definedName>
    <definedName name="TOWEO" localSheetId="1">#REF!</definedName>
    <definedName name="TOWEO">#REF!</definedName>
    <definedName name="TRADE3" localSheetId="64">[1]Trade!#REF!</definedName>
    <definedName name="TRADE3" localSheetId="1">[1]Trade!#REF!</definedName>
    <definedName name="TRADE3" localSheetId="56">[1]Trade!#REF!</definedName>
    <definedName name="TRADE3">[1]Trade!#REF!</definedName>
    <definedName name="trans" localSheetId="64">#REF!</definedName>
    <definedName name="trans" localSheetId="1">#REF!</definedName>
    <definedName name="trans">#REF!</definedName>
    <definedName name="Transfer_check" localSheetId="64">#REF!</definedName>
    <definedName name="Transfer_check" localSheetId="1">#REF!</definedName>
    <definedName name="Transfer_check">#REF!</definedName>
    <definedName name="TRANSNAVE" localSheetId="64">#REF!</definedName>
    <definedName name="TRANSNAVE" localSheetId="1">#REF!</definedName>
    <definedName name="TRANSNAVE">#REF!</definedName>
    <definedName name="tt" localSheetId="64" hidden="1">{"Tab1",#N/A,FALSE,"P";"Tab2",#N/A,FALSE,"P"}</definedName>
    <definedName name="tt" localSheetId="55" hidden="1">{"Tab1",#N/A,FALSE,"P";"Tab2",#N/A,FALSE,"P"}</definedName>
    <definedName name="tt" localSheetId="56" hidden="1">{"Tab1",#N/A,FALSE,"P";"Tab2",#N/A,FALSE,"P"}</definedName>
    <definedName name="tt" hidden="1">{"Tab1",#N/A,FALSE,"P";"Tab2",#N/A,FALSE,"P"}</definedName>
    <definedName name="ttt" localSheetId="64" hidden="1">{"Tab1",#N/A,FALSE,"P";"Tab2",#N/A,FALSE,"P"}</definedName>
    <definedName name="ttt" localSheetId="55" hidden="1">{"Tab1",#N/A,FALSE,"P";"Tab2",#N/A,FALSE,"P"}</definedName>
    <definedName name="ttt" localSheetId="56" hidden="1">{"Tab1",#N/A,FALSE,"P";"Tab2",#N/A,FALSE,"P"}</definedName>
    <definedName name="ttt" hidden="1">{"Tab1",#N/A,FALSE,"P";"Tab2",#N/A,FALSE,"P"}</definedName>
    <definedName name="ttttt" localSheetId="64" hidden="1">[62]M!#REF!</definedName>
    <definedName name="ttttt" localSheetId="1" hidden="1">[62]M!#REF!</definedName>
    <definedName name="ttttt" localSheetId="55" hidden="1">[62]M!#REF!</definedName>
    <definedName name="ttttt" localSheetId="56" hidden="1">[62]M!#REF!</definedName>
    <definedName name="ttttt" hidden="1">[62]M!#REF!</definedName>
    <definedName name="TTTTTTTTTTTT" localSheetId="64">#N/A</definedName>
    <definedName name="TTTTTTTTTTTT" localSheetId="56">'Graf 46 + 47'!TTTTTTTTTTTT</definedName>
    <definedName name="TTTTTTTTTTTT">[23]!TTTTTTTTTTTT</definedName>
    <definedName name="TXG_D">#N/A</definedName>
    <definedName name="TXGO">#N/A</definedName>
    <definedName name="u163lnulcm_x_et.m" localSheetId="64">[36]monthly!#REF!</definedName>
    <definedName name="u163lnulcm_x_et.m" localSheetId="1">[37]monthly!#REF!</definedName>
    <definedName name="u163lnulcm_x_et.m" localSheetId="56">[38]monthly!#REF!</definedName>
    <definedName name="u163lnulcm_x_et.m">[37]monthly!#REF!</definedName>
    <definedName name="ULC_CZ" localSheetId="64">[5]REER!$BU$144:$BU$206</definedName>
    <definedName name="ULC_CZ" localSheetId="56">[6]REER!$BU$144:$BU$206</definedName>
    <definedName name="ULC_CZ">[22]REER!$BU$144:$BU$206</definedName>
    <definedName name="ULC_PART" localSheetId="64">[5]REER!$BR$144:$BR$206</definedName>
    <definedName name="ULC_PART" localSheetId="56">[6]REER!$BR$144:$BR$206</definedName>
    <definedName name="ULC_PART">[22]REER!$BR$144:$BR$206</definedName>
    <definedName name="Universities" localSheetId="64">#REF!</definedName>
    <definedName name="Universities" localSheetId="1">#REF!</definedName>
    <definedName name="Universities">#REF!</definedName>
    <definedName name="UPee_2" localSheetId="64">[30]Graf14_Graf15!#REF!</definedName>
    <definedName name="UPee_2">[30]Graf14_Graf15!#REF!</definedName>
    <definedName name="UPer_2" localSheetId="64">[30]Graf14_Graf15!#REF!</definedName>
    <definedName name="UPer_2">[30]Graf14_Graf15!#REF!</definedName>
    <definedName name="Uruguay">'[77]PDR vulnerability table'!$A$3:$E$65</definedName>
    <definedName name="USERNAME" localSheetId="64">#REF!</definedName>
    <definedName name="USERNAME" localSheetId="1">#REF!</definedName>
    <definedName name="USERNAME">#REF!</definedName>
    <definedName name="uu" localSheetId="64" hidden="1">{"Riqfin97",#N/A,FALSE,"Tran";"Riqfinpro",#N/A,FALSE,"Tran"}</definedName>
    <definedName name="uu" localSheetId="55" hidden="1">{"Riqfin97",#N/A,FALSE,"Tran";"Riqfinpro",#N/A,FALSE,"Tran"}</definedName>
    <definedName name="uu" localSheetId="56" hidden="1">{"Riqfin97",#N/A,FALSE,"Tran";"Riqfinpro",#N/A,FALSE,"Tran"}</definedName>
    <definedName name="uu" hidden="1">{"Riqfin97",#N/A,FALSE,"Tran";"Riqfinpro",#N/A,FALSE,"Tran"}</definedName>
    <definedName name="uuu" localSheetId="64" hidden="1">{"Riqfin97",#N/A,FALSE,"Tran";"Riqfinpro",#N/A,FALSE,"Tran"}</definedName>
    <definedName name="uuu" localSheetId="55" hidden="1">{"Riqfin97",#N/A,FALSE,"Tran";"Riqfinpro",#N/A,FALSE,"Tran"}</definedName>
    <definedName name="uuu" localSheetId="56" hidden="1">{"Riqfin97",#N/A,FALSE,"Tran";"Riqfinpro",#N/A,FALSE,"Tran"}</definedName>
    <definedName name="uuu" hidden="1">{"Riqfin97",#N/A,FALSE,"Tran";"Riqfinpro",#N/A,FALSE,"Tran"}</definedName>
    <definedName name="UUUUUUUUUUU" localSheetId="64">#N/A</definedName>
    <definedName name="UUUUUUUUUUU" localSheetId="56">'Graf 46 + 47'!UUUUUUUUUUU</definedName>
    <definedName name="UUUUUUUUUUU">[23]!UUUUUUUUUUU</definedName>
    <definedName name="ValidationList" localSheetId="64">#REF!</definedName>
    <definedName name="ValidationList" localSheetId="1">#REF!</definedName>
    <definedName name="ValidationList" localSheetId="56">#REF!</definedName>
    <definedName name="ValidationList">#REF!</definedName>
    <definedName name="VeljavniProracun" localSheetId="64">#REF!</definedName>
    <definedName name="VeljavniProracun" localSheetId="1">#REF!</definedName>
    <definedName name="VeljavniProracun" localSheetId="56">#REF!</definedName>
    <definedName name="VeljavniProracun">#REF!</definedName>
    <definedName name="Venezuela" localSheetId="64">#REF!</definedName>
    <definedName name="Venezuela" localSheetId="1">#REF!</definedName>
    <definedName name="Venezuela">#REF!</definedName>
    <definedName name="vv" localSheetId="64" hidden="1">{"Tab1",#N/A,FALSE,"P";"Tab2",#N/A,FALSE,"P"}</definedName>
    <definedName name="vv" localSheetId="55" hidden="1">{"Tab1",#N/A,FALSE,"P";"Tab2",#N/A,FALSE,"P"}</definedName>
    <definedName name="vv" localSheetId="56" hidden="1">{"Tab1",#N/A,FALSE,"P";"Tab2",#N/A,FALSE,"P"}</definedName>
    <definedName name="vv" hidden="1">{"Tab1",#N/A,FALSE,"P";"Tab2",#N/A,FALSE,"P"}</definedName>
    <definedName name="vvv" localSheetId="64" hidden="1">{"Tab1",#N/A,FALSE,"P";"Tab2",#N/A,FALSE,"P"}</definedName>
    <definedName name="vvv" localSheetId="55" hidden="1">{"Tab1",#N/A,FALSE,"P";"Tab2",#N/A,FALSE,"P"}</definedName>
    <definedName name="vvv" localSheetId="56" hidden="1">{"Tab1",#N/A,FALSE,"P";"Tab2",#N/A,FALSE,"P"}</definedName>
    <definedName name="vvv" hidden="1">{"Tab1",#N/A,FALSE,"P";"Tab2",#N/A,FALSE,"P"}</definedName>
    <definedName name="we11pcpi.m" localSheetId="64">[36]monthly!#REF!</definedName>
    <definedName name="we11pcpi.m" localSheetId="1">[37]monthly!#REF!</definedName>
    <definedName name="we11pcpi.m" localSheetId="56">[38]monthly!#REF!</definedName>
    <definedName name="we11pcpi.m">[37]monthly!#REF!</definedName>
    <definedName name="WMENU" localSheetId="64">#REF!</definedName>
    <definedName name="WMENU">#REF!</definedName>
    <definedName name="wrn.1993_2002." hidden="1">{"1993_2002",#N/A,FALSE,"UnderlyingData"}</definedName>
    <definedName name="wrn.a11._.general._.government." hidden="1">{"a11 general government",#N/A,FALSE,"RED Tables"}</definedName>
    <definedName name="wrn.a12._.Federal._.Government." hidden="1">{"a12 Federal Government",#N/A,FALSE,"RED Tables"}</definedName>
    <definedName name="wrn.a13._.social._.security." hidden="1">{"a13 social security",#N/A,FALSE,"RED Tables"}</definedName>
    <definedName name="wrn.a14._.regions._.and._.communities." hidden="1">{"a14 regions and communities",#N/A,FALSE,"RED Tables"}</definedName>
    <definedName name="wrn.a15._.local._.governments." hidden="1">{"a15 local governments",#N/A,FALSE,"RED Tables"}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64" hidden="1">{"Tab1",#N/A,FALSE,"P";"Tab2",#N/A,FALSE,"P"}</definedName>
    <definedName name="wrn.Program." localSheetId="55" hidden="1">{"Tab1",#N/A,FALSE,"P";"Tab2",#N/A,FALSE,"P"}</definedName>
    <definedName name="wrn.Program." localSheetId="56" hidden="1">{"Tab1",#N/A,FALSE,"P";"Tab2",#N/A,FALSE,"P"}</definedName>
    <definedName name="wrn.Program." hidden="1">{"Tab1",#N/A,FALSE,"P";"Tab2",#N/A,FALSE,"P"}</definedName>
    <definedName name="wrn.Ques._.1." hidden="1">{"Ques 1",#N/A,FALSE,"NWEO138"}</definedName>
    <definedName name="wrn.Riqfin." localSheetId="64" hidden="1">{"Riqfin97",#N/A,FALSE,"Tran";"Riqfinpro",#N/A,FALSE,"Tran"}</definedName>
    <definedName name="wrn.Riqfin." localSheetId="55" hidden="1">{"Riqfin97",#N/A,FALSE,"Tran";"Riqfinpro",#N/A,FALSE,"Tran"}</definedName>
    <definedName name="wrn.Riqfin." localSheetId="56" hidden="1">{"Riqfin97",#N/A,FALSE,"Tran";"Riqfinpro",#N/A,FALSE,"Tran"}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WEO." hidden="1">{"WEO",#N/A,FALSE,"T"}</definedName>
    <definedName name="ww" localSheetId="64" hidden="1">[62]M!#REF!</definedName>
    <definedName name="ww" localSheetId="1" hidden="1">[62]M!#REF!</definedName>
    <definedName name="ww" localSheetId="55" hidden="1">[62]M!#REF!</definedName>
    <definedName name="ww" localSheetId="56" hidden="1">[62]M!#REF!</definedName>
    <definedName name="ww" hidden="1">[62]M!#REF!</definedName>
    <definedName name="www" localSheetId="64" hidden="1">{"Riqfin97",#N/A,FALSE,"Tran";"Riqfinpro",#N/A,FALSE,"Tran"}</definedName>
    <definedName name="www" localSheetId="55" hidden="1">{"Riqfin97",#N/A,FALSE,"Tran";"Riqfinpro",#N/A,FALSE,"Tran"}</definedName>
    <definedName name="www" localSheetId="56" hidden="1">{"Riqfin97",#N/A,FALSE,"Tran";"Riqfinpro",#N/A,FALSE,"Tran"}</definedName>
    <definedName name="www" hidden="1">{"Riqfin97",#N/A,FALSE,"Tran";"Riqfinpro",#N/A,FALSE,"Tran"}</definedName>
    <definedName name="XR" localSheetId="64">[5]REER!$AT$140:$BA$199</definedName>
    <definedName name="XR" localSheetId="56">[6]REER!$AT$140:$BA$199</definedName>
    <definedName name="XR">[22]REER!$AT$140:$BA$199</definedName>
    <definedName name="xx" localSheetId="64" hidden="1">{"Riqfin97",#N/A,FALSE,"Tran";"Riqfinpro",#N/A,FALSE,"Tran"}</definedName>
    <definedName name="xx" localSheetId="55" hidden="1">{"Riqfin97",#N/A,FALSE,"Tran";"Riqfinpro",#N/A,FALSE,"Tran"}</definedName>
    <definedName name="xx" localSheetId="56" hidden="1">{"Riqfin97",#N/A,FALSE,"Tran";"Riqfinpro",#N/A,FALSE,"Tran"}</definedName>
    <definedName name="xx" hidden="1">{"Riqfin97",#N/A,FALSE,"Tran";"Riqfinpro",#N/A,FALSE,"Tran"}</definedName>
    <definedName name="xxWRS_1" localSheetId="64">#REF!</definedName>
    <definedName name="xxWRS_1" localSheetId="1">#REF!</definedName>
    <definedName name="xxWRS_1">#REF!</definedName>
    <definedName name="xxWRS_10" localSheetId="64">#REF!</definedName>
    <definedName name="xxWRS_10" localSheetId="1">#REF!</definedName>
    <definedName name="xxWRS_10">#REF!</definedName>
    <definedName name="xxWRS_11" localSheetId="64">#REF!</definedName>
    <definedName name="xxWRS_11" localSheetId="1">#REF!</definedName>
    <definedName name="xxWRS_11">#REF!</definedName>
    <definedName name="xxWRS_12" localSheetId="64">#REF!</definedName>
    <definedName name="xxWRS_12" localSheetId="1">#REF!</definedName>
    <definedName name="xxWRS_12">#REF!</definedName>
    <definedName name="xxWRS_2" localSheetId="64">#REF!</definedName>
    <definedName name="xxWRS_2" localSheetId="1">#REF!</definedName>
    <definedName name="xxWRS_2">#REF!</definedName>
    <definedName name="xxWRS_6" localSheetId="64">#REF!</definedName>
    <definedName name="xxWRS_6" localSheetId="1">#REF!</definedName>
    <definedName name="xxWRS_6">#REF!</definedName>
    <definedName name="xxWRS_7" localSheetId="64">#REF!</definedName>
    <definedName name="xxWRS_7" localSheetId="1">#REF!</definedName>
    <definedName name="xxWRS_7">#REF!</definedName>
    <definedName name="xxWRS_8" localSheetId="64">#REF!</definedName>
    <definedName name="xxWRS_8" localSheetId="1">#REF!</definedName>
    <definedName name="xxWRS_8">#REF!</definedName>
    <definedName name="xxWRS_9" localSheetId="64">#REF!</definedName>
    <definedName name="xxWRS_9" localSheetId="1">#REF!</definedName>
    <definedName name="xxWRS_9">#REF!</definedName>
    <definedName name="xxxx" localSheetId="64" hidden="1">{"Riqfin97",#N/A,FALSE,"Tran";"Riqfinpro",#N/A,FALSE,"Tran"}</definedName>
    <definedName name="xxxx" localSheetId="55" hidden="1">{"Riqfin97",#N/A,FALSE,"Tran";"Riqfinpro",#N/A,FALSE,"Tran"}</definedName>
    <definedName name="xxxx" localSheetId="56" hidden="1">{"Riqfin97",#N/A,FALSE,"Tran";"Riqfinpro",#N/A,FALSE,"Tran"}</definedName>
    <definedName name="xxxx" hidden="1">{"Riqfin97",#N/A,FALSE,"Tran";"Riqfinpro",#N/A,FALSE,"Tran"}</definedName>
    <definedName name="year" localSheetId="64">[30]Graf14_Graf15!#REF!</definedName>
    <definedName name="year">[30]Graf14_Graf15!#REF!</definedName>
    <definedName name="yy" localSheetId="64" hidden="1">{"Tab1",#N/A,FALSE,"P";"Tab2",#N/A,FALSE,"P"}</definedName>
    <definedName name="yy" localSheetId="55" hidden="1">{"Tab1",#N/A,FALSE,"P";"Tab2",#N/A,FALSE,"P"}</definedName>
    <definedName name="yy" localSheetId="56" hidden="1">{"Tab1",#N/A,FALSE,"P";"Tab2",#N/A,FALSE,"P"}</definedName>
    <definedName name="yy" hidden="1">{"Tab1",#N/A,FALSE,"P";"Tab2",#N/A,FALSE,"P"}</definedName>
    <definedName name="yyy" localSheetId="64" hidden="1">{"Tab1",#N/A,FALSE,"P";"Tab2",#N/A,FALSE,"P"}</definedName>
    <definedName name="yyy" localSheetId="55" hidden="1">{"Tab1",#N/A,FALSE,"P";"Tab2",#N/A,FALSE,"P"}</definedName>
    <definedName name="yyy" localSheetId="56" hidden="1">{"Tab1",#N/A,FALSE,"P";"Tab2",#N/A,FALSE,"P"}</definedName>
    <definedName name="yyy" hidden="1">{"Tab1",#N/A,FALSE,"P";"Tab2",#N/A,FALSE,"P"}</definedName>
    <definedName name="yyyy" localSheetId="64" hidden="1">{"Riqfin97",#N/A,FALSE,"Tran";"Riqfinpro",#N/A,FALSE,"Tran"}</definedName>
    <definedName name="yyyy" localSheetId="55" hidden="1">{"Riqfin97",#N/A,FALSE,"Tran";"Riqfinpro",#N/A,FALSE,"Tran"}</definedName>
    <definedName name="yyyy" localSheetId="56" hidden="1">{"Riqfin97",#N/A,FALSE,"Tran";"Riqfinpro",#N/A,FALSE,"Tran"}</definedName>
    <definedName name="yyyy" hidden="1">{"Riqfin97",#N/A,FALSE,"Tran";"Riqfinpro",#N/A,FALSE,"Tran"}</definedName>
    <definedName name="Z_1D44FD83_577F_412D_85CC_4CD8A3A1C2A3_.wvu.Cols" localSheetId="19" hidden="1">ESA2010_source!$C:$C</definedName>
    <definedName name="Z_95224721_0485_11D4_BFD1_00508B5F4DA4_.wvu.Cols" localSheetId="64" hidden="1">#REF!</definedName>
    <definedName name="Z_95224721_0485_11D4_BFD1_00508B5F4DA4_.wvu.Cols" localSheetId="1" hidden="1">#REF!</definedName>
    <definedName name="Z_95224721_0485_11D4_BFD1_00508B5F4DA4_.wvu.Cols" localSheetId="55" hidden="1">#REF!</definedName>
    <definedName name="Z_95224721_0485_11D4_BFD1_00508B5F4DA4_.wvu.Cols" localSheetId="56" hidden="1">#REF!</definedName>
    <definedName name="Z_95224721_0485_11D4_BFD1_00508B5F4DA4_.wvu.Cols" hidden="1">#REF!</definedName>
    <definedName name="zac_kles" localSheetId="64">[30]Graf14_Graf15!#REF!</definedName>
    <definedName name="zac_kles">[30]Graf14_Graf15!#REF!</definedName>
    <definedName name="zac_kles_2" localSheetId="64">[30]Graf14_Graf15!#REF!</definedName>
    <definedName name="zac_kles_2">[30]Graf14_Graf15!#REF!</definedName>
    <definedName name="ZPee_2" localSheetId="64">[30]Graf14_Graf15!#REF!</definedName>
    <definedName name="ZPee_2">[30]Graf14_Graf15!#REF!</definedName>
    <definedName name="ZPer_2" localSheetId="64">[30]Graf14_Graf15!#REF!</definedName>
    <definedName name="ZPer_2">[30]Graf14_Graf15!#REF!</definedName>
    <definedName name="zpiz" localSheetId="64">[49]ZPIZ!$A:$F</definedName>
    <definedName name="zpiz">[49]ZPIZ!$A$1:$F$65536</definedName>
    <definedName name="zz" localSheetId="64" hidden="1">{"Tab1",#N/A,FALSE,"P";"Tab2",#N/A,FALSE,"P"}</definedName>
    <definedName name="zz" localSheetId="55" hidden="1">{"Tab1",#N/A,FALSE,"P";"Tab2",#N/A,FALSE,"P"}</definedName>
    <definedName name="zz" localSheetId="56" hidden="1">{"Tab1",#N/A,FALSE,"P";"Tab2",#N/A,FALSE,"P"}</definedName>
    <definedName name="zz" hidden="1">{"Tab1",#N/A,FALSE,"P";"Tab2",#N/A,FALSE,"P"}</definedName>
    <definedName name="zzzs" localSheetId="64">[49]ZZZS!$A:$E</definedName>
    <definedName name="zzzs">[49]ZZZS!$A$1:$E$65536</definedName>
  </definedNames>
  <calcPr calcId="152511"/>
</workbook>
</file>

<file path=xl/calcChain.xml><?xml version="1.0" encoding="utf-8"?>
<calcChain xmlns="http://schemas.openxmlformats.org/spreadsheetml/2006/main">
  <c r="D29" i="111" l="1"/>
  <c r="G27" i="111"/>
  <c r="E27" i="111"/>
  <c r="H27" i="111" s="1"/>
  <c r="H25" i="111"/>
  <c r="G25" i="111"/>
  <c r="E25" i="111"/>
  <c r="E21" i="111" s="1"/>
  <c r="H24" i="111"/>
  <c r="G24" i="111"/>
  <c r="H23" i="111"/>
  <c r="G23" i="111"/>
  <c r="H22" i="111"/>
  <c r="H21" i="111" s="1"/>
  <c r="G22" i="111"/>
  <c r="G21" i="111" s="1"/>
  <c r="E22" i="111"/>
  <c r="F21" i="111"/>
  <c r="D21" i="111"/>
  <c r="C7" i="25" l="1"/>
  <c r="D7" i="25"/>
  <c r="D26" i="25" s="1"/>
  <c r="E7" i="25"/>
  <c r="E26" i="25" s="1"/>
  <c r="F8" i="25"/>
  <c r="I8" i="25" s="1"/>
  <c r="I7" i="25" s="1"/>
  <c r="G8" i="25"/>
  <c r="G7" i="25" s="1"/>
  <c r="G26" i="25" s="1"/>
  <c r="H8" i="25"/>
  <c r="H7" i="25" s="1"/>
  <c r="H26" i="25" s="1"/>
  <c r="F10" i="25"/>
  <c r="I10" i="25" s="1"/>
  <c r="G10" i="25"/>
  <c r="H10" i="25"/>
  <c r="K10" i="25" s="1"/>
  <c r="J10" i="25"/>
  <c r="F11" i="25"/>
  <c r="I11" i="25" s="1"/>
  <c r="G11" i="25"/>
  <c r="J11" i="25" s="1"/>
  <c r="H11" i="25"/>
  <c r="K11" i="25" s="1"/>
  <c r="F12" i="25"/>
  <c r="I12" i="25" s="1"/>
  <c r="G12" i="25"/>
  <c r="H12" i="25"/>
  <c r="K12" i="25" s="1"/>
  <c r="J12" i="25"/>
  <c r="F13" i="25"/>
  <c r="I13" i="25" s="1"/>
  <c r="G13" i="25"/>
  <c r="J13" i="25" s="1"/>
  <c r="H13" i="25"/>
  <c r="K13" i="25" s="1"/>
  <c r="F14" i="25"/>
  <c r="I14" i="25" s="1"/>
  <c r="G14" i="25"/>
  <c r="H14" i="25"/>
  <c r="K14" i="25" s="1"/>
  <c r="J14" i="25"/>
  <c r="F15" i="25"/>
  <c r="I15" i="25" s="1"/>
  <c r="G15" i="25"/>
  <c r="J15" i="25" s="1"/>
  <c r="H15" i="25"/>
  <c r="K15" i="25" s="1"/>
  <c r="F16" i="25"/>
  <c r="I16" i="25" s="1"/>
  <c r="G16" i="25"/>
  <c r="H16" i="25"/>
  <c r="K16" i="25" s="1"/>
  <c r="J16" i="25"/>
  <c r="F17" i="25"/>
  <c r="I17" i="25" s="1"/>
  <c r="G17" i="25"/>
  <c r="J17" i="25" s="1"/>
  <c r="H17" i="25"/>
  <c r="K17" i="25" s="1"/>
  <c r="F18" i="25"/>
  <c r="I18" i="25" s="1"/>
  <c r="G18" i="25"/>
  <c r="H18" i="25"/>
  <c r="K18" i="25" s="1"/>
  <c r="J18" i="25"/>
  <c r="F19" i="25"/>
  <c r="I19" i="25" s="1"/>
  <c r="G19" i="25"/>
  <c r="J19" i="25" s="1"/>
  <c r="H19" i="25"/>
  <c r="K19" i="25" s="1"/>
  <c r="F20" i="25"/>
  <c r="I20" i="25" s="1"/>
  <c r="G20" i="25"/>
  <c r="H20" i="25"/>
  <c r="K20" i="25" s="1"/>
  <c r="J20" i="25"/>
  <c r="F21" i="25"/>
  <c r="I21" i="25" s="1"/>
  <c r="G21" i="25"/>
  <c r="J21" i="25" s="1"/>
  <c r="H21" i="25"/>
  <c r="K21" i="25" s="1"/>
  <c r="F22" i="25"/>
  <c r="I22" i="25" s="1"/>
  <c r="G22" i="25"/>
  <c r="H22" i="25"/>
  <c r="K22" i="25" s="1"/>
  <c r="J22" i="25"/>
  <c r="F23" i="25"/>
  <c r="I23" i="25" s="1"/>
  <c r="G23" i="25"/>
  <c r="J23" i="25" s="1"/>
  <c r="H23" i="25"/>
  <c r="K23" i="25" s="1"/>
  <c r="F24" i="25"/>
  <c r="I24" i="25" s="1"/>
  <c r="G24" i="25"/>
  <c r="H24" i="25"/>
  <c r="K24" i="25" s="1"/>
  <c r="J24" i="25"/>
  <c r="F25" i="25"/>
  <c r="I25" i="25" s="1"/>
  <c r="G25" i="25"/>
  <c r="J25" i="25" s="1"/>
  <c r="H25" i="25"/>
  <c r="K25" i="25" s="1"/>
  <c r="C26" i="25"/>
  <c r="E25" i="24"/>
  <c r="F25" i="24"/>
  <c r="G25" i="24"/>
  <c r="H25" i="24"/>
  <c r="I25" i="24"/>
  <c r="D25" i="24"/>
  <c r="E11" i="24"/>
  <c r="F11" i="24"/>
  <c r="G11" i="24"/>
  <c r="H11" i="24"/>
  <c r="I11" i="24"/>
  <c r="D11" i="24"/>
  <c r="K26" i="25" l="1"/>
  <c r="J26" i="25"/>
  <c r="F7" i="25"/>
  <c r="F26" i="25" s="1"/>
  <c r="I26" i="25" s="1"/>
  <c r="K8" i="25"/>
  <c r="K7" i="25" s="1"/>
  <c r="J8" i="25"/>
  <c r="J7" i="25" s="1"/>
  <c r="L25" i="110" l="1"/>
  <c r="L16" i="110"/>
  <c r="T86" i="110" l="1"/>
  <c r="S86" i="110"/>
  <c r="R86" i="110"/>
  <c r="T82" i="110"/>
  <c r="S82" i="110"/>
  <c r="R82" i="110"/>
  <c r="T74" i="110"/>
  <c r="S74" i="110"/>
  <c r="R74" i="110"/>
  <c r="T73" i="110"/>
  <c r="S73" i="110"/>
  <c r="R73" i="110"/>
  <c r="T61" i="110"/>
  <c r="S61" i="110"/>
  <c r="R61" i="110"/>
  <c r="T58" i="110"/>
  <c r="S58" i="110"/>
  <c r="R58" i="110"/>
  <c r="T57" i="110"/>
  <c r="S57" i="110"/>
  <c r="R57" i="110"/>
  <c r="T49" i="110"/>
  <c r="S49" i="110"/>
  <c r="R49" i="110"/>
  <c r="T47" i="110"/>
  <c r="S47" i="110"/>
  <c r="R47" i="110"/>
  <c r="T37" i="110"/>
  <c r="S37" i="110"/>
  <c r="R37" i="110"/>
  <c r="T31" i="110"/>
  <c r="T30" i="110" s="1"/>
  <c r="S31" i="110"/>
  <c r="S30" i="110" s="1"/>
  <c r="R31" i="110"/>
  <c r="R30" i="110" s="1"/>
  <c r="T25" i="110"/>
  <c r="T24" i="110" s="1"/>
  <c r="S25" i="110"/>
  <c r="S24" i="110" s="1"/>
  <c r="R25" i="110"/>
  <c r="R24" i="110" s="1"/>
  <c r="T16" i="110"/>
  <c r="S16" i="110"/>
  <c r="R16" i="110"/>
  <c r="T9" i="110"/>
  <c r="S9" i="110"/>
  <c r="R9" i="110"/>
  <c r="S81" i="110" l="1"/>
  <c r="T81" i="110"/>
  <c r="T42" i="110" s="1"/>
  <c r="T43" i="110" s="1"/>
  <c r="S44" i="110"/>
  <c r="S7" i="110"/>
  <c r="S8" i="110" s="1"/>
  <c r="T44" i="110"/>
  <c r="R81" i="110"/>
  <c r="R42" i="110" s="1"/>
  <c r="R43" i="110" s="1"/>
  <c r="R7" i="110"/>
  <c r="R8" i="110" s="1"/>
  <c r="R44" i="110"/>
  <c r="S42" i="110"/>
  <c r="S43" i="110" s="1"/>
  <c r="T7" i="110"/>
  <c r="T8" i="110" s="1"/>
  <c r="R88" i="110" l="1"/>
  <c r="R89" i="110" s="1"/>
  <c r="S88" i="110"/>
  <c r="S89" i="110" s="1"/>
  <c r="T88" i="110"/>
  <c r="T89" i="110" s="1"/>
  <c r="C23" i="32" l="1"/>
  <c r="D23" i="32"/>
  <c r="E23" i="32"/>
  <c r="F23" i="32"/>
  <c r="G23" i="32"/>
  <c r="B23" i="32"/>
  <c r="C22" i="32"/>
  <c r="D22" i="32"/>
  <c r="E22" i="32"/>
  <c r="F22" i="32"/>
  <c r="G22" i="32"/>
  <c r="B22" i="32"/>
  <c r="G6" i="32"/>
  <c r="F6" i="32"/>
  <c r="E6" i="32"/>
  <c r="D6" i="32"/>
  <c r="C6" i="32"/>
  <c r="B6" i="32"/>
  <c r="G19" i="37" l="1"/>
  <c r="G20" i="37"/>
  <c r="G21" i="37"/>
  <c r="G18" i="37"/>
  <c r="H21" i="135" l="1"/>
  <c r="I21" i="135"/>
  <c r="J21" i="135"/>
  <c r="K21" i="135"/>
  <c r="H22" i="135"/>
  <c r="I22" i="135"/>
  <c r="J22" i="135"/>
  <c r="K22" i="135"/>
  <c r="H23" i="135"/>
  <c r="I23" i="135"/>
  <c r="J23" i="135"/>
  <c r="K23" i="135"/>
  <c r="H24" i="135"/>
  <c r="I24" i="135"/>
  <c r="J24" i="135"/>
  <c r="K24" i="135"/>
  <c r="H25" i="135"/>
  <c r="I25" i="135"/>
  <c r="J25" i="135"/>
  <c r="K25" i="135"/>
  <c r="H26" i="135"/>
  <c r="I26" i="135"/>
  <c r="J26" i="135"/>
  <c r="K26" i="135"/>
  <c r="H27" i="135"/>
  <c r="I27" i="135"/>
  <c r="J27" i="135"/>
  <c r="K27" i="135"/>
  <c r="H28" i="135"/>
  <c r="I28" i="135"/>
  <c r="J28" i="135"/>
  <c r="K28" i="135"/>
  <c r="H29" i="135"/>
  <c r="I29" i="135"/>
  <c r="J29" i="135"/>
  <c r="K29" i="135"/>
  <c r="I20" i="135"/>
  <c r="J20" i="135"/>
  <c r="K20" i="135"/>
  <c r="H20" i="135"/>
  <c r="H18" i="135"/>
  <c r="J18" i="135"/>
  <c r="F18" i="135"/>
  <c r="C28" i="4" l="1"/>
  <c r="C29" i="4"/>
  <c r="C30" i="4"/>
  <c r="C31" i="4"/>
  <c r="C32" i="4"/>
  <c r="C33" i="4"/>
  <c r="C34" i="4"/>
  <c r="C35" i="4"/>
  <c r="C36" i="4"/>
  <c r="C37" i="4"/>
  <c r="C38" i="4"/>
  <c r="C27" i="4"/>
  <c r="D28" i="4"/>
  <c r="D29" i="4"/>
  <c r="D30" i="4"/>
  <c r="D31" i="4"/>
  <c r="D32" i="4"/>
  <c r="D33" i="4"/>
  <c r="D34" i="4"/>
  <c r="D35" i="4"/>
  <c r="D36" i="4"/>
  <c r="D37" i="4"/>
  <c r="D38" i="4"/>
  <c r="D27" i="4"/>
  <c r="F28" i="4"/>
  <c r="F29" i="4"/>
  <c r="F30" i="4"/>
  <c r="F31" i="4"/>
  <c r="F32" i="4"/>
  <c r="F33" i="4"/>
  <c r="F34" i="4"/>
  <c r="F35" i="4"/>
  <c r="F36" i="4"/>
  <c r="F37" i="4"/>
  <c r="F38" i="4"/>
  <c r="F27" i="4"/>
  <c r="G28" i="4"/>
  <c r="G29" i="4"/>
  <c r="G30" i="4"/>
  <c r="G31" i="4"/>
  <c r="G32" i="4"/>
  <c r="G33" i="4"/>
  <c r="G34" i="4"/>
  <c r="G35" i="4"/>
  <c r="G36" i="4"/>
  <c r="G37" i="4"/>
  <c r="G38" i="4"/>
  <c r="G27" i="4"/>
  <c r="H28" i="4"/>
  <c r="H29" i="4"/>
  <c r="H30" i="4"/>
  <c r="H31" i="4"/>
  <c r="H32" i="4"/>
  <c r="H33" i="4"/>
  <c r="H34" i="4"/>
  <c r="H35" i="4"/>
  <c r="H36" i="4"/>
  <c r="H37" i="4"/>
  <c r="H38" i="4"/>
  <c r="H27" i="4"/>
  <c r="J28" i="4"/>
  <c r="J29" i="4"/>
  <c r="J30" i="4"/>
  <c r="J31" i="4"/>
  <c r="J32" i="4"/>
  <c r="J33" i="4"/>
  <c r="J34" i="4"/>
  <c r="J35" i="4"/>
  <c r="J36" i="4"/>
  <c r="J37" i="4"/>
  <c r="J38" i="4"/>
  <c r="J27" i="4"/>
  <c r="I39" i="11" l="1"/>
  <c r="H39" i="11"/>
  <c r="G39" i="11"/>
  <c r="F39" i="11"/>
  <c r="E39" i="11"/>
  <c r="D39" i="11"/>
  <c r="I38" i="11"/>
  <c r="H38" i="11"/>
  <c r="G38" i="11"/>
  <c r="F38" i="11"/>
  <c r="E38" i="11"/>
  <c r="D38" i="11"/>
  <c r="I37" i="11"/>
  <c r="H37" i="11"/>
  <c r="G37" i="11"/>
  <c r="F37" i="11"/>
  <c r="E37" i="11"/>
  <c r="D37" i="11"/>
  <c r="I36" i="11"/>
  <c r="H36" i="11"/>
  <c r="G36" i="11"/>
  <c r="F36" i="11"/>
  <c r="E36" i="11"/>
  <c r="D36" i="11"/>
  <c r="I35" i="11"/>
  <c r="H35" i="11"/>
  <c r="G35" i="11"/>
  <c r="F35" i="11"/>
  <c r="E35" i="11"/>
  <c r="D35" i="11"/>
  <c r="I34" i="11"/>
  <c r="H34" i="11"/>
  <c r="G34" i="11"/>
  <c r="F34" i="11"/>
  <c r="E34" i="11"/>
  <c r="D34" i="11"/>
  <c r="I33" i="11"/>
  <c r="H33" i="11"/>
  <c r="G33" i="11"/>
  <c r="F33" i="11"/>
  <c r="E33" i="11"/>
  <c r="D33" i="11"/>
  <c r="I32" i="11"/>
  <c r="H32" i="11"/>
  <c r="G32" i="11"/>
  <c r="F32" i="11"/>
  <c r="E32" i="11"/>
  <c r="D32" i="11"/>
  <c r="I31" i="11"/>
  <c r="H31" i="11"/>
  <c r="G31" i="11"/>
  <c r="F31" i="11"/>
  <c r="E31" i="11"/>
  <c r="D31" i="11"/>
  <c r="I30" i="11"/>
  <c r="H30" i="11"/>
  <c r="G30" i="11"/>
  <c r="F30" i="11"/>
  <c r="E30" i="11"/>
  <c r="D30" i="11"/>
  <c r="I29" i="11"/>
  <c r="H29" i="11"/>
  <c r="G29" i="11"/>
  <c r="F29" i="11"/>
  <c r="E29" i="11"/>
  <c r="D29" i="11"/>
  <c r="I28" i="11"/>
  <c r="H28" i="11"/>
  <c r="G28" i="11"/>
  <c r="F28" i="11"/>
  <c r="E28" i="11"/>
  <c r="D28" i="11"/>
  <c r="I27" i="11"/>
  <c r="H27" i="11"/>
  <c r="G27" i="11"/>
  <c r="F27" i="11"/>
  <c r="E27" i="11"/>
  <c r="D27" i="11"/>
  <c r="I26" i="11"/>
  <c r="H26" i="11"/>
  <c r="G26" i="11"/>
  <c r="F26" i="11"/>
  <c r="E26" i="11"/>
  <c r="D26" i="11"/>
  <c r="E25" i="11"/>
  <c r="F25" i="11"/>
  <c r="G25" i="11"/>
  <c r="H25" i="11"/>
  <c r="I25" i="11"/>
  <c r="D25" i="11"/>
  <c r="AH5" i="134" l="1"/>
  <c r="AH6" i="134"/>
  <c r="AH7" i="134"/>
  <c r="AH8" i="134"/>
  <c r="AH9" i="134"/>
  <c r="AH10" i="134"/>
  <c r="AH11" i="134"/>
  <c r="AH12" i="134"/>
  <c r="AH13" i="134"/>
  <c r="AH14" i="134"/>
  <c r="AH15" i="134"/>
  <c r="AH16" i="134"/>
  <c r="AH17" i="134"/>
  <c r="AH18" i="134"/>
  <c r="AH19" i="134"/>
  <c r="AH20" i="134"/>
  <c r="AH21" i="134"/>
  <c r="AH22" i="134"/>
  <c r="AH23" i="134"/>
  <c r="AH24" i="134"/>
  <c r="AH25" i="134"/>
  <c r="AH26" i="134"/>
  <c r="AH27" i="134"/>
  <c r="AH28" i="134"/>
  <c r="AH29" i="134"/>
  <c r="AH30" i="134"/>
  <c r="AH31" i="134"/>
  <c r="AH32" i="134"/>
  <c r="AH4" i="134"/>
  <c r="AF29" i="134"/>
  <c r="AF27" i="134"/>
  <c r="AF23" i="134"/>
  <c r="AF22" i="134"/>
  <c r="AF21" i="134"/>
  <c r="AF20" i="134"/>
  <c r="AF19" i="134"/>
  <c r="AF18" i="134"/>
  <c r="AF17" i="134"/>
  <c r="AF16" i="134"/>
  <c r="AF15" i="134"/>
  <c r="AF13" i="134"/>
  <c r="AF12" i="134"/>
  <c r="AF10" i="134"/>
  <c r="AF9" i="134"/>
  <c r="AF8" i="134"/>
  <c r="AF7" i="134"/>
  <c r="AF6" i="134"/>
  <c r="AF5" i="134"/>
  <c r="AF4" i="134"/>
  <c r="I15" i="30" l="1"/>
  <c r="K33" i="143"/>
  <c r="J33" i="143"/>
  <c r="I33" i="143"/>
  <c r="E33" i="143"/>
  <c r="D33" i="143"/>
  <c r="C33" i="143"/>
  <c r="O32" i="143"/>
  <c r="Q31" i="143"/>
  <c r="P31" i="143"/>
  <c r="O31" i="143"/>
  <c r="N31" i="143"/>
  <c r="N30" i="143"/>
  <c r="O29" i="143"/>
  <c r="N29" i="143"/>
  <c r="O28" i="143"/>
  <c r="N28" i="143"/>
  <c r="H27" i="143"/>
  <c r="N27" i="143" s="1"/>
  <c r="N23" i="143"/>
  <c r="P22" i="143"/>
  <c r="P21" i="143"/>
  <c r="N21" i="143"/>
  <c r="N20" i="143"/>
  <c r="N19" i="143"/>
  <c r="G18" i="143"/>
  <c r="M18" i="143" s="1"/>
  <c r="N17" i="143"/>
  <c r="M16" i="143"/>
  <c r="H16" i="143"/>
  <c r="H33" i="143" s="1"/>
  <c r="G16" i="143"/>
  <c r="M15" i="143"/>
  <c r="O14" i="143"/>
  <c r="N14" i="143"/>
  <c r="M14" i="143"/>
  <c r="L14" i="143"/>
  <c r="Q13" i="143"/>
  <c r="Q33" i="143" s="1"/>
  <c r="P13" i="143"/>
  <c r="P33" i="143" s="1"/>
  <c r="H15" i="30" s="1"/>
  <c r="O13" i="143"/>
  <c r="N13" i="143"/>
  <c r="M13" i="143"/>
  <c r="L13" i="143"/>
  <c r="M12" i="143"/>
  <c r="L12" i="143"/>
  <c r="L11" i="143"/>
  <c r="L10" i="143"/>
  <c r="L9" i="143"/>
  <c r="F8" i="143"/>
  <c r="F33" i="143" s="1"/>
  <c r="L7" i="143"/>
  <c r="L5" i="143"/>
  <c r="M33" i="143" l="1"/>
  <c r="E15" i="30" s="1"/>
  <c r="N16" i="143"/>
  <c r="N33" i="143" s="1"/>
  <c r="F15" i="30" s="1"/>
  <c r="O33" i="143"/>
  <c r="G15" i="30" s="1"/>
  <c r="G33" i="143"/>
  <c r="L8" i="143"/>
  <c r="L33" i="143" s="1"/>
  <c r="D15" i="30" s="1"/>
  <c r="P44" i="142" l="1"/>
  <c r="O44" i="142"/>
  <c r="N44" i="142"/>
  <c r="M44" i="142"/>
  <c r="L44" i="142"/>
  <c r="K44" i="142"/>
  <c r="B23" i="142"/>
  <c r="B47" i="142" s="1"/>
  <c r="P20" i="142"/>
  <c r="O20" i="142"/>
  <c r="N20" i="142"/>
  <c r="M20" i="142"/>
  <c r="L20" i="142"/>
  <c r="K20" i="142"/>
  <c r="G20" i="142"/>
  <c r="F20" i="142"/>
  <c r="E20" i="142"/>
  <c r="D20" i="142"/>
  <c r="C20" i="142"/>
  <c r="B20" i="142"/>
  <c r="C30" i="32" l="1"/>
  <c r="D30" i="32"/>
  <c r="E30" i="32"/>
  <c r="F30" i="32"/>
  <c r="G30" i="32"/>
  <c r="B30" i="32"/>
  <c r="U11" i="136" l="1"/>
  <c r="K51" i="138" l="1"/>
  <c r="L51" i="138"/>
  <c r="K24" i="138"/>
  <c r="L24" i="138"/>
  <c r="X51" i="138" l="1"/>
  <c r="X24" i="138" l="1"/>
  <c r="H57" i="139"/>
  <c r="G57" i="139"/>
  <c r="F57" i="139"/>
  <c r="E57" i="139"/>
  <c r="D57" i="139"/>
  <c r="C57" i="139"/>
  <c r="W51" i="138" l="1"/>
  <c r="V51" i="138"/>
  <c r="U51" i="138"/>
  <c r="T51" i="138"/>
  <c r="S51" i="138"/>
  <c r="R51" i="138"/>
  <c r="Q51" i="138"/>
  <c r="P51" i="138"/>
  <c r="O51" i="138"/>
  <c r="J51" i="138"/>
  <c r="I51" i="138"/>
  <c r="H51" i="138"/>
  <c r="G51" i="138"/>
  <c r="F51" i="138"/>
  <c r="E51" i="138"/>
  <c r="D51" i="138"/>
  <c r="C51" i="138"/>
  <c r="W24" i="138"/>
  <c r="V24" i="138"/>
  <c r="U24" i="138"/>
  <c r="T24" i="138"/>
  <c r="S24" i="138"/>
  <c r="R24" i="138"/>
  <c r="Q24" i="138"/>
  <c r="P24" i="138"/>
  <c r="O24" i="138"/>
  <c r="J24" i="138"/>
  <c r="I24" i="138"/>
  <c r="H24" i="138"/>
  <c r="G24" i="138"/>
  <c r="F24" i="138"/>
  <c r="E24" i="138"/>
  <c r="D24" i="138"/>
  <c r="C24" i="138"/>
  <c r="C29" i="139" l="1"/>
  <c r="D29" i="139"/>
  <c r="H29" i="139"/>
  <c r="G29" i="139"/>
  <c r="E29" i="139"/>
  <c r="F29" i="139" l="1"/>
  <c r="C45" i="112" l="1"/>
  <c r="C21" i="112"/>
  <c r="F7" i="116" l="1"/>
  <c r="E7" i="116"/>
  <c r="D7" i="116"/>
  <c r="C7" i="116"/>
  <c r="C8" i="116" l="1"/>
  <c r="D8" i="116"/>
  <c r="E8" i="116" s="1"/>
  <c r="F8" i="116" s="1"/>
  <c r="T26" i="136" l="1"/>
  <c r="S26" i="136"/>
  <c r="R26" i="136"/>
  <c r="Q26" i="136"/>
  <c r="P26" i="136"/>
  <c r="O26" i="136"/>
  <c r="N26" i="136"/>
  <c r="M26" i="136"/>
  <c r="L26" i="136"/>
  <c r="K26" i="136"/>
  <c r="T11" i="136"/>
  <c r="S11" i="136"/>
  <c r="R11" i="136"/>
  <c r="Q11" i="136"/>
  <c r="P11" i="136"/>
  <c r="O11" i="136"/>
  <c r="N11" i="136"/>
  <c r="M11" i="136"/>
  <c r="L11" i="136"/>
  <c r="K11" i="136"/>
  <c r="K38" i="137"/>
  <c r="K37" i="137"/>
  <c r="K36" i="137"/>
  <c r="K35" i="137"/>
  <c r="K34" i="137"/>
  <c r="K33" i="137"/>
  <c r="K32" i="137"/>
  <c r="K31" i="137"/>
  <c r="K30" i="137"/>
  <c r="K29" i="137"/>
  <c r="T54" i="136"/>
  <c r="S54" i="136"/>
  <c r="R54" i="136"/>
  <c r="Q54" i="136"/>
  <c r="P54" i="136"/>
  <c r="O54" i="136"/>
  <c r="N54" i="136"/>
  <c r="M54" i="136"/>
  <c r="L54" i="136"/>
  <c r="K54" i="136"/>
  <c r="T40" i="136"/>
  <c r="S40" i="136"/>
  <c r="R40" i="136"/>
  <c r="Q40" i="136"/>
  <c r="P40" i="136"/>
  <c r="O40" i="136"/>
  <c r="N40" i="136"/>
  <c r="M40" i="136"/>
  <c r="L40" i="136"/>
  <c r="K40" i="136"/>
  <c r="L25" i="137" l="1"/>
  <c r="L17" i="137"/>
  <c r="L19" i="137"/>
  <c r="L21" i="137"/>
  <c r="L23" i="137"/>
  <c r="M17" i="137" l="1"/>
  <c r="M25" i="137"/>
  <c r="M21" i="137"/>
  <c r="M23" i="137"/>
  <c r="M19" i="137"/>
  <c r="L20" i="137"/>
  <c r="M20" i="137"/>
  <c r="L22" i="137"/>
  <c r="M22" i="137"/>
  <c r="L24" i="137"/>
  <c r="M24" i="137"/>
  <c r="L18" i="137"/>
  <c r="L26" i="137"/>
  <c r="M18" i="137"/>
  <c r="M26" i="137"/>
  <c r="F4" i="111" l="1"/>
  <c r="H6" i="111"/>
  <c r="D4" i="111"/>
  <c r="D12" i="111"/>
  <c r="E10" i="111"/>
  <c r="E8" i="111"/>
  <c r="G6" i="111"/>
  <c r="H10" i="111" l="1"/>
  <c r="G10" i="111"/>
  <c r="H7" i="111"/>
  <c r="G5" i="111"/>
  <c r="H8" i="111"/>
  <c r="E5" i="111"/>
  <c r="G7" i="111"/>
  <c r="G8" i="111"/>
  <c r="G4" i="111" l="1"/>
  <c r="H5" i="111"/>
  <c r="H4" i="111" s="1"/>
  <c r="E4" i="111"/>
  <c r="D21" i="22" l="1"/>
  <c r="G47" i="25" l="1"/>
  <c r="J47" i="25" s="1"/>
  <c r="H47" i="25"/>
  <c r="K47" i="25" s="1"/>
  <c r="F47" i="25"/>
  <c r="I47" i="25" s="1"/>
  <c r="G43" i="25"/>
  <c r="J43" i="25" s="1"/>
  <c r="H43" i="25"/>
  <c r="K43" i="25" s="1"/>
  <c r="F43" i="25"/>
  <c r="I43" i="25" s="1"/>
  <c r="G42" i="25"/>
  <c r="J42" i="25" s="1"/>
  <c r="H42" i="25"/>
  <c r="K42" i="25" s="1"/>
  <c r="F42" i="25"/>
  <c r="I42" i="25" s="1"/>
  <c r="G40" i="25"/>
  <c r="J40" i="25" s="1"/>
  <c r="H40" i="25"/>
  <c r="K40" i="25" s="1"/>
  <c r="F40" i="25"/>
  <c r="I40" i="25" s="1"/>
  <c r="G39" i="25"/>
  <c r="J39" i="25" s="1"/>
  <c r="H39" i="25"/>
  <c r="K39" i="25" s="1"/>
  <c r="F39" i="25"/>
  <c r="I39" i="25" s="1"/>
  <c r="G38" i="25"/>
  <c r="J38" i="25" s="1"/>
  <c r="H38" i="25"/>
  <c r="K38" i="25" s="1"/>
  <c r="F38" i="25"/>
  <c r="I38" i="25" s="1"/>
  <c r="D16" i="29"/>
  <c r="E16" i="29"/>
  <c r="F17" i="29" s="1"/>
  <c r="F16" i="29"/>
  <c r="G16" i="29"/>
  <c r="H17" i="29" s="1"/>
  <c r="H16" i="29"/>
  <c r="I16" i="29"/>
  <c r="J17" i="29" s="1"/>
  <c r="J16" i="29"/>
  <c r="K16" i="29"/>
  <c r="L17" i="29" s="1"/>
  <c r="L16" i="29"/>
  <c r="M16" i="29"/>
  <c r="M17" i="29" s="1"/>
  <c r="D17" i="29"/>
  <c r="G17" i="29"/>
  <c r="K17" i="29"/>
  <c r="C17" i="29"/>
  <c r="C13" i="29"/>
  <c r="C14" i="29" s="1"/>
  <c r="D13" i="29"/>
  <c r="D14" i="29" s="1"/>
  <c r="E13" i="29"/>
  <c r="E14" i="29" s="1"/>
  <c r="F13" i="29"/>
  <c r="F14" i="29" s="1"/>
  <c r="G13" i="29"/>
  <c r="G14" i="29" s="1"/>
  <c r="H13" i="29"/>
  <c r="I13" i="29"/>
  <c r="J13" i="29"/>
  <c r="K13" i="29"/>
  <c r="L13" i="29"/>
  <c r="M13" i="29"/>
  <c r="B13" i="29"/>
  <c r="B14" i="29" s="1"/>
  <c r="D56" i="30"/>
  <c r="E56" i="30"/>
  <c r="F56" i="30"/>
  <c r="G56" i="30"/>
  <c r="H56" i="30"/>
  <c r="I56" i="30"/>
  <c r="C56" i="30"/>
  <c r="C51" i="30"/>
  <c r="D35" i="30"/>
  <c r="E35" i="30"/>
  <c r="F35" i="30"/>
  <c r="G35" i="30"/>
  <c r="H35" i="30"/>
  <c r="I35" i="30"/>
  <c r="C35" i="30"/>
  <c r="E15" i="29" l="1"/>
  <c r="C15" i="29"/>
  <c r="G15" i="29"/>
  <c r="D15" i="29"/>
  <c r="I17" i="29"/>
  <c r="E17" i="29"/>
  <c r="F15" i="29"/>
  <c r="C20" i="30"/>
  <c r="D27" i="30"/>
  <c r="E27" i="30"/>
  <c r="F27" i="30"/>
  <c r="G27" i="30"/>
  <c r="H27" i="30"/>
  <c r="I27" i="30"/>
  <c r="C27" i="30"/>
  <c r="D6" i="30"/>
  <c r="E6" i="30"/>
  <c r="F6" i="30"/>
  <c r="G6" i="30"/>
  <c r="H6" i="30"/>
  <c r="I6" i="30"/>
  <c r="C6" i="30"/>
  <c r="C5" i="29" l="1"/>
  <c r="D5" i="29"/>
  <c r="E5" i="29"/>
  <c r="F5" i="29"/>
  <c r="G5" i="29"/>
  <c r="H5" i="29"/>
  <c r="I5" i="29"/>
  <c r="J5" i="29"/>
  <c r="K5" i="29"/>
  <c r="L5" i="29"/>
  <c r="M5" i="29"/>
  <c r="B5" i="29"/>
  <c r="B6" i="29" s="1"/>
  <c r="B11" i="29"/>
  <c r="B12" i="29"/>
  <c r="B16" i="29"/>
  <c r="P86" i="110" l="1"/>
  <c r="O86" i="110"/>
  <c r="N86" i="110"/>
  <c r="M86" i="110"/>
  <c r="L86" i="110"/>
  <c r="L81" i="110" s="1"/>
  <c r="K86" i="110"/>
  <c r="J86" i="110"/>
  <c r="J81" i="110" s="1"/>
  <c r="I86" i="110"/>
  <c r="I81" i="110" s="1"/>
  <c r="H86" i="110"/>
  <c r="H81" i="110" s="1"/>
  <c r="G86" i="110"/>
  <c r="F86" i="110"/>
  <c r="E86" i="110"/>
  <c r="D86" i="110"/>
  <c r="P82" i="110"/>
  <c r="O82" i="110"/>
  <c r="N82" i="110"/>
  <c r="M82" i="110"/>
  <c r="G82" i="110"/>
  <c r="G81" i="110" s="1"/>
  <c r="F82" i="110"/>
  <c r="F81" i="110" s="1"/>
  <c r="E82" i="110"/>
  <c r="E81" i="110" s="1"/>
  <c r="D82" i="110"/>
  <c r="D81" i="110" s="1"/>
  <c r="K81" i="110"/>
  <c r="K80" i="110"/>
  <c r="L79" i="110"/>
  <c r="K79" i="110"/>
  <c r="J79" i="110"/>
  <c r="I79" i="110"/>
  <c r="H79" i="110"/>
  <c r="P78" i="110"/>
  <c r="O78" i="110"/>
  <c r="N78" i="110"/>
  <c r="M78" i="110"/>
  <c r="P74" i="110"/>
  <c r="O74" i="110"/>
  <c r="N74" i="110"/>
  <c r="M74" i="110"/>
  <c r="K74" i="110"/>
  <c r="I74" i="110"/>
  <c r="H74" i="110"/>
  <c r="G74" i="110"/>
  <c r="F74" i="110"/>
  <c r="E74" i="110"/>
  <c r="D74" i="110"/>
  <c r="P73" i="110"/>
  <c r="O73" i="110"/>
  <c r="N73" i="110"/>
  <c r="M73" i="110"/>
  <c r="L67" i="110"/>
  <c r="K67" i="110"/>
  <c r="J67" i="110"/>
  <c r="I67" i="110"/>
  <c r="H67" i="110"/>
  <c r="G67" i="110"/>
  <c r="F67" i="110"/>
  <c r="E67" i="110"/>
  <c r="D67" i="110"/>
  <c r="L65" i="110"/>
  <c r="K65" i="110"/>
  <c r="J65" i="110"/>
  <c r="I65" i="110"/>
  <c r="L64" i="110"/>
  <c r="K64" i="110"/>
  <c r="J64" i="110"/>
  <c r="I64" i="110"/>
  <c r="P61" i="110"/>
  <c r="O61" i="110"/>
  <c r="N61" i="110"/>
  <c r="M61" i="110"/>
  <c r="P58" i="110"/>
  <c r="O58" i="110"/>
  <c r="N58" i="110"/>
  <c r="M58" i="110"/>
  <c r="P57" i="110"/>
  <c r="O57" i="110"/>
  <c r="N57" i="110"/>
  <c r="M57" i="110"/>
  <c r="L56" i="110"/>
  <c r="K56" i="110"/>
  <c r="J56" i="110"/>
  <c r="I56" i="110"/>
  <c r="H56" i="110"/>
  <c r="G56" i="110"/>
  <c r="F56" i="110"/>
  <c r="E56" i="110"/>
  <c r="D56" i="110"/>
  <c r="L55" i="110"/>
  <c r="K55" i="110"/>
  <c r="J55" i="110"/>
  <c r="I55" i="110"/>
  <c r="H55" i="110"/>
  <c r="G55" i="110"/>
  <c r="F55" i="110"/>
  <c r="E55" i="110"/>
  <c r="D55" i="110"/>
  <c r="L54" i="110"/>
  <c r="L57" i="110" s="1"/>
  <c r="K54" i="110"/>
  <c r="K57" i="110" s="1"/>
  <c r="J54" i="110"/>
  <c r="I54" i="110"/>
  <c r="H54" i="110"/>
  <c r="G54" i="110"/>
  <c r="F54" i="110"/>
  <c r="E54" i="110"/>
  <c r="D54" i="110"/>
  <c r="J53" i="110"/>
  <c r="I53" i="110"/>
  <c r="H53" i="110"/>
  <c r="G53" i="110"/>
  <c r="F53" i="110"/>
  <c r="E53" i="110"/>
  <c r="D53" i="110"/>
  <c r="P49" i="110"/>
  <c r="O49" i="110"/>
  <c r="N49" i="110"/>
  <c r="M49" i="110"/>
  <c r="L49" i="110"/>
  <c r="L44" i="110" s="1"/>
  <c r="K49" i="110"/>
  <c r="K44" i="110" s="1"/>
  <c r="J49" i="110"/>
  <c r="J44" i="110" s="1"/>
  <c r="I49" i="110"/>
  <c r="I44" i="110" s="1"/>
  <c r="H49" i="110"/>
  <c r="H44" i="110" s="1"/>
  <c r="G49" i="110"/>
  <c r="G44" i="110" s="1"/>
  <c r="F49" i="110"/>
  <c r="F44" i="110" s="1"/>
  <c r="E49" i="110"/>
  <c r="E44" i="110" s="1"/>
  <c r="D49" i="110"/>
  <c r="D44" i="110" s="1"/>
  <c r="M48" i="110"/>
  <c r="P46" i="110"/>
  <c r="O46" i="110"/>
  <c r="N46" i="110"/>
  <c r="M46" i="110"/>
  <c r="P45" i="110"/>
  <c r="O45" i="110"/>
  <c r="N45" i="110"/>
  <c r="M45" i="110"/>
  <c r="M47" i="110" s="1"/>
  <c r="L41" i="110"/>
  <c r="L37" i="110" s="1"/>
  <c r="K41" i="110"/>
  <c r="J41" i="110"/>
  <c r="J37" i="110" s="1"/>
  <c r="I41" i="110"/>
  <c r="I37" i="110" s="1"/>
  <c r="H41" i="110"/>
  <c r="H37" i="110" s="1"/>
  <c r="G41" i="110"/>
  <c r="G37" i="110" s="1"/>
  <c r="E41" i="110"/>
  <c r="E37" i="110" s="1"/>
  <c r="D41" i="110"/>
  <c r="D37" i="110" s="1"/>
  <c r="L38" i="110"/>
  <c r="K38" i="110"/>
  <c r="J38" i="110"/>
  <c r="I38" i="110"/>
  <c r="H38" i="110"/>
  <c r="G38" i="110"/>
  <c r="F38" i="110"/>
  <c r="E38" i="110"/>
  <c r="D38" i="110"/>
  <c r="P37" i="110"/>
  <c r="O37" i="110"/>
  <c r="N37" i="110"/>
  <c r="M37" i="110"/>
  <c r="K37" i="110"/>
  <c r="F37" i="110"/>
  <c r="K35" i="110"/>
  <c r="J35" i="110"/>
  <c r="P31" i="110"/>
  <c r="P30" i="110" s="1"/>
  <c r="O31" i="110"/>
  <c r="N31" i="110"/>
  <c r="M31" i="110"/>
  <c r="M30" i="110" s="1"/>
  <c r="L31" i="110"/>
  <c r="L30" i="110" s="1"/>
  <c r="K31" i="110"/>
  <c r="K30" i="110" s="1"/>
  <c r="J31" i="110"/>
  <c r="J30" i="110" s="1"/>
  <c r="I31" i="110"/>
  <c r="I30" i="110" s="1"/>
  <c r="H31" i="110"/>
  <c r="H30" i="110" s="1"/>
  <c r="G31" i="110"/>
  <c r="G30" i="110" s="1"/>
  <c r="F31" i="110"/>
  <c r="F30" i="110" s="1"/>
  <c r="E31" i="110"/>
  <c r="E30" i="110" s="1"/>
  <c r="D31" i="110"/>
  <c r="D30" i="110" s="1"/>
  <c r="O30" i="110"/>
  <c r="N30" i="110"/>
  <c r="K28" i="110"/>
  <c r="J28" i="110"/>
  <c r="I28" i="110"/>
  <c r="H28" i="110"/>
  <c r="G28" i="110"/>
  <c r="F28" i="110"/>
  <c r="E28" i="110"/>
  <c r="D28" i="110"/>
  <c r="I27" i="110"/>
  <c r="K26" i="110"/>
  <c r="J26" i="110"/>
  <c r="I26" i="110"/>
  <c r="H26" i="110"/>
  <c r="G26" i="110"/>
  <c r="F26" i="110"/>
  <c r="E26" i="110"/>
  <c r="D26" i="110"/>
  <c r="P25" i="110"/>
  <c r="P24" i="110" s="1"/>
  <c r="O25" i="110"/>
  <c r="O24" i="110" s="1"/>
  <c r="N25" i="110"/>
  <c r="N24" i="110" s="1"/>
  <c r="M25" i="110"/>
  <c r="M24" i="110" s="1"/>
  <c r="L24" i="110"/>
  <c r="J21" i="110"/>
  <c r="I21" i="110"/>
  <c r="H21" i="110"/>
  <c r="D18" i="110"/>
  <c r="K17" i="110"/>
  <c r="D17" i="110"/>
  <c r="P16" i="110"/>
  <c r="O16" i="110"/>
  <c r="N16" i="110"/>
  <c r="M16" i="110"/>
  <c r="K12" i="110"/>
  <c r="J12" i="110"/>
  <c r="I12" i="110"/>
  <c r="H12" i="110"/>
  <c r="G12" i="110"/>
  <c r="F12" i="110"/>
  <c r="E12" i="110"/>
  <c r="D12" i="110"/>
  <c r="P9" i="110"/>
  <c r="O9" i="110"/>
  <c r="N9" i="110"/>
  <c r="M9" i="110"/>
  <c r="L9" i="110"/>
  <c r="K9" i="110"/>
  <c r="J9" i="110"/>
  <c r="I9" i="110"/>
  <c r="H9" i="110"/>
  <c r="G9" i="110"/>
  <c r="F9" i="110"/>
  <c r="E9" i="110"/>
  <c r="D9" i="110"/>
  <c r="G57" i="110" l="1"/>
  <c r="O44" i="110"/>
  <c r="G36" i="25" s="1"/>
  <c r="J36" i="25" s="1"/>
  <c r="O7" i="110"/>
  <c r="O8" i="110" s="1"/>
  <c r="F42" i="110"/>
  <c r="F43" i="110" s="1"/>
  <c r="J42" i="110"/>
  <c r="C5" i="30" s="1"/>
  <c r="G25" i="110"/>
  <c r="G24" i="110" s="1"/>
  <c r="G7" i="110" s="1"/>
  <c r="G8" i="110" s="1"/>
  <c r="K25" i="110"/>
  <c r="K24" i="110" s="1"/>
  <c r="O81" i="110"/>
  <c r="M81" i="110"/>
  <c r="M42" i="110" s="1"/>
  <c r="E25" i="110"/>
  <c r="E24" i="110" s="1"/>
  <c r="E7" i="110" s="1"/>
  <c r="I25" i="110"/>
  <c r="I24" i="110" s="1"/>
  <c r="I7" i="110" s="1"/>
  <c r="D25" i="110"/>
  <c r="D24" i="110" s="1"/>
  <c r="D7" i="110" s="1"/>
  <c r="D8" i="110" s="1"/>
  <c r="K42" i="110"/>
  <c r="D34" i="30" s="1"/>
  <c r="P81" i="110"/>
  <c r="E57" i="110"/>
  <c r="F25" i="110"/>
  <c r="F24" i="110" s="1"/>
  <c r="F7" i="110" s="1"/>
  <c r="J25" i="110"/>
  <c r="J24" i="110" s="1"/>
  <c r="J7" i="110" s="1"/>
  <c r="J88" i="110" s="1"/>
  <c r="J89" i="110" s="1"/>
  <c r="I57" i="110"/>
  <c r="H25" i="110"/>
  <c r="H24" i="110" s="1"/>
  <c r="G42" i="110"/>
  <c r="G43" i="110" s="1"/>
  <c r="D42" i="110"/>
  <c r="D43" i="110" s="1"/>
  <c r="L42" i="110"/>
  <c r="E5" i="30" s="1"/>
  <c r="H33" i="25"/>
  <c r="K33" i="25" s="1"/>
  <c r="H7" i="110"/>
  <c r="H8" i="110" s="1"/>
  <c r="P7" i="110"/>
  <c r="P8" i="110" s="1"/>
  <c r="P47" i="110"/>
  <c r="F41" i="25"/>
  <c r="I41" i="25" s="1"/>
  <c r="F44" i="25"/>
  <c r="I44" i="25" s="1"/>
  <c r="G46" i="25"/>
  <c r="J46" i="25" s="1"/>
  <c r="H31" i="25"/>
  <c r="K31" i="25" s="1"/>
  <c r="H32" i="25"/>
  <c r="K32" i="25" s="1"/>
  <c r="N7" i="110"/>
  <c r="F31" i="25"/>
  <c r="I31" i="25" s="1"/>
  <c r="H34" i="25"/>
  <c r="K34" i="25" s="1"/>
  <c r="F57" i="110"/>
  <c r="J57" i="110"/>
  <c r="G41" i="25"/>
  <c r="J41" i="25" s="1"/>
  <c r="G44" i="25"/>
  <c r="J44" i="25" s="1"/>
  <c r="H45" i="25"/>
  <c r="K45" i="25" s="1"/>
  <c r="H46" i="25"/>
  <c r="K46" i="25" s="1"/>
  <c r="G48" i="25"/>
  <c r="J48" i="25" s="1"/>
  <c r="G34" i="25"/>
  <c r="J34" i="25" s="1"/>
  <c r="F48" i="25"/>
  <c r="I48" i="25" s="1"/>
  <c r="G33" i="25"/>
  <c r="J33" i="25" s="1"/>
  <c r="H42" i="110"/>
  <c r="H43" i="110" s="1"/>
  <c r="P44" i="110"/>
  <c r="H41" i="25"/>
  <c r="K41" i="25" s="1"/>
  <c r="H44" i="25"/>
  <c r="K44" i="25" s="1"/>
  <c r="H48" i="25"/>
  <c r="K48" i="25" s="1"/>
  <c r="G31" i="25"/>
  <c r="J31" i="25" s="1"/>
  <c r="G32" i="25"/>
  <c r="J32" i="25" s="1"/>
  <c r="L7" i="110"/>
  <c r="L8" i="110" s="1"/>
  <c r="K7" i="110"/>
  <c r="K8" i="110" s="1"/>
  <c r="F32" i="25"/>
  <c r="I32" i="25" s="1"/>
  <c r="F34" i="25"/>
  <c r="I34" i="25" s="1"/>
  <c r="O47" i="110"/>
  <c r="D57" i="110"/>
  <c r="H57" i="110"/>
  <c r="E42" i="110"/>
  <c r="E43" i="110" s="1"/>
  <c r="N81" i="110"/>
  <c r="I42" i="110"/>
  <c r="I43" i="110" s="1"/>
  <c r="M7" i="110"/>
  <c r="N47" i="110"/>
  <c r="M44" i="110"/>
  <c r="N44" i="110"/>
  <c r="G45" i="25" l="1"/>
  <c r="J45" i="25" s="1"/>
  <c r="P42" i="110"/>
  <c r="P43" i="110" s="1"/>
  <c r="O42" i="110"/>
  <c r="O88" i="110" s="1"/>
  <c r="O89" i="110" s="1"/>
  <c r="C6" i="26" s="1"/>
  <c r="C14" i="26" s="1"/>
  <c r="C34" i="30"/>
  <c r="J43" i="110"/>
  <c r="E34" i="30"/>
  <c r="D88" i="110"/>
  <c r="D89" i="110" s="1"/>
  <c r="L43" i="110"/>
  <c r="K43" i="110"/>
  <c r="L88" i="110"/>
  <c r="L89" i="110" s="1"/>
  <c r="C9" i="22" s="1"/>
  <c r="C21" i="22" s="1"/>
  <c r="D5" i="30"/>
  <c r="K88" i="110"/>
  <c r="K89" i="110" s="1"/>
  <c r="B9" i="22" s="1"/>
  <c r="B21" i="22" s="1"/>
  <c r="F8" i="110"/>
  <c r="F88" i="110"/>
  <c r="F89" i="110" s="1"/>
  <c r="H88" i="110"/>
  <c r="H89" i="110" s="1"/>
  <c r="G88" i="110"/>
  <c r="G89" i="110" s="1"/>
  <c r="F5" i="28"/>
  <c r="M43" i="110"/>
  <c r="F34" i="30"/>
  <c r="F5" i="30"/>
  <c r="H34" i="30"/>
  <c r="H5" i="30"/>
  <c r="J8" i="110"/>
  <c r="P88" i="110"/>
  <c r="P89" i="110" s="1"/>
  <c r="D6" i="26" s="1"/>
  <c r="D14" i="26" s="1"/>
  <c r="F46" i="25"/>
  <c r="I46" i="25" s="1"/>
  <c r="H36" i="25"/>
  <c r="K36" i="25" s="1"/>
  <c r="N8" i="110"/>
  <c r="F45" i="25"/>
  <c r="I45" i="25" s="1"/>
  <c r="F37" i="25"/>
  <c r="I37" i="25" s="1"/>
  <c r="H37" i="25"/>
  <c r="K37" i="25" s="1"/>
  <c r="F36" i="25"/>
  <c r="I36" i="25" s="1"/>
  <c r="C5" i="28"/>
  <c r="G37" i="25"/>
  <c r="J37" i="25" s="1"/>
  <c r="N42" i="110"/>
  <c r="F33" i="25"/>
  <c r="I33" i="25" s="1"/>
  <c r="I88" i="110"/>
  <c r="I89" i="110" s="1"/>
  <c r="I8" i="110"/>
  <c r="M88" i="110"/>
  <c r="M89" i="110" s="1"/>
  <c r="D5" i="28" s="1"/>
  <c r="M8" i="110"/>
  <c r="E88" i="110"/>
  <c r="E89" i="110" s="1"/>
  <c r="E8" i="110"/>
  <c r="F9" i="22" l="1"/>
  <c r="F21" i="22" s="1"/>
  <c r="O43" i="110"/>
  <c r="I5" i="30"/>
  <c r="I13" i="30" s="1"/>
  <c r="I34" i="30"/>
  <c r="B5" i="28"/>
  <c r="B21" i="142" s="1"/>
  <c r="G5" i="28"/>
  <c r="G45" i="94" s="1"/>
  <c r="G9" i="22"/>
  <c r="G21" i="22" s="1"/>
  <c r="H35" i="25"/>
  <c r="K35" i="25" s="1"/>
  <c r="F21" i="142"/>
  <c r="F45" i="142"/>
  <c r="D45" i="142"/>
  <c r="D21" i="142"/>
  <c r="N43" i="110"/>
  <c r="G34" i="30"/>
  <c r="G5" i="30"/>
  <c r="G13" i="30" s="1"/>
  <c r="G42" i="30" s="1"/>
  <c r="C45" i="142"/>
  <c r="C21" i="142"/>
  <c r="G35" i="25"/>
  <c r="J35" i="25" s="1"/>
  <c r="N88" i="110"/>
  <c r="N89" i="110" s="1"/>
  <c r="G21" i="142"/>
  <c r="L44" i="94"/>
  <c r="M44" i="94"/>
  <c r="N44" i="94"/>
  <c r="O44" i="94"/>
  <c r="P44" i="94"/>
  <c r="K44" i="94"/>
  <c r="C45" i="94"/>
  <c r="D45" i="94"/>
  <c r="F45" i="94"/>
  <c r="C36" i="30"/>
  <c r="D36" i="30"/>
  <c r="E36" i="30"/>
  <c r="F36" i="30"/>
  <c r="G36" i="30"/>
  <c r="H36" i="30"/>
  <c r="I36" i="30"/>
  <c r="C37" i="30"/>
  <c r="D37" i="30"/>
  <c r="E37" i="30"/>
  <c r="F37" i="30"/>
  <c r="G37" i="30"/>
  <c r="H37" i="30"/>
  <c r="I37" i="30"/>
  <c r="C38" i="30"/>
  <c r="D38" i="30"/>
  <c r="E38" i="30"/>
  <c r="F38" i="30"/>
  <c r="G38" i="30"/>
  <c r="H38" i="30"/>
  <c r="I38" i="30"/>
  <c r="C39" i="30"/>
  <c r="D39" i="30"/>
  <c r="E39" i="30"/>
  <c r="F39" i="30"/>
  <c r="G39" i="30"/>
  <c r="H39" i="30"/>
  <c r="I39" i="30"/>
  <c r="C40" i="30"/>
  <c r="D40" i="30"/>
  <c r="E40" i="30"/>
  <c r="F40" i="30"/>
  <c r="G40" i="30"/>
  <c r="H40" i="30"/>
  <c r="I40" i="30"/>
  <c r="C41" i="30"/>
  <c r="D41" i="30"/>
  <c r="E41" i="30"/>
  <c r="F41" i="30"/>
  <c r="G41" i="30"/>
  <c r="H41" i="30"/>
  <c r="I41" i="30"/>
  <c r="C43" i="30"/>
  <c r="C49" i="30"/>
  <c r="C50" i="30"/>
  <c r="D50" i="30"/>
  <c r="E50" i="30"/>
  <c r="F50" i="30"/>
  <c r="G50" i="30"/>
  <c r="H50" i="30"/>
  <c r="I50" i="30"/>
  <c r="C54" i="30"/>
  <c r="D54" i="30"/>
  <c r="E54" i="30"/>
  <c r="F54" i="30"/>
  <c r="G54" i="30"/>
  <c r="H54" i="30"/>
  <c r="I54" i="30"/>
  <c r="C55" i="30"/>
  <c r="D55" i="30"/>
  <c r="E55" i="30"/>
  <c r="F55" i="30"/>
  <c r="G55" i="30"/>
  <c r="H55" i="30"/>
  <c r="I55" i="30"/>
  <c r="D33" i="30"/>
  <c r="E33" i="30"/>
  <c r="G33" i="30"/>
  <c r="H33" i="30"/>
  <c r="I33" i="30"/>
  <c r="C33" i="30"/>
  <c r="H13" i="30"/>
  <c r="H42" i="30" s="1"/>
  <c r="F13" i="30"/>
  <c r="F42" i="30" s="1"/>
  <c r="E13" i="30"/>
  <c r="D13" i="30"/>
  <c r="D42" i="30" s="1"/>
  <c r="C13" i="30"/>
  <c r="C42" i="30" s="1"/>
  <c r="G19" i="28"/>
  <c r="F19" i="28"/>
  <c r="E19" i="28"/>
  <c r="E23" i="28" s="1"/>
  <c r="D19" i="28"/>
  <c r="C19" i="28"/>
  <c r="B19" i="28"/>
  <c r="B22" i="28" s="1"/>
  <c r="C8" i="28"/>
  <c r="D8" i="28"/>
  <c r="F8" i="28"/>
  <c r="F46" i="94" s="1"/>
  <c r="G8" i="28"/>
  <c r="F22" i="28"/>
  <c r="G45" i="142" l="1"/>
  <c r="B45" i="142"/>
  <c r="B8" i="28"/>
  <c r="B22" i="142" s="1"/>
  <c r="B21" i="94"/>
  <c r="B45" i="94"/>
  <c r="B6" i="26"/>
  <c r="B14" i="26" s="1"/>
  <c r="E9" i="22"/>
  <c r="E21" i="22" s="1"/>
  <c r="E5" i="28"/>
  <c r="E21" i="94" s="1"/>
  <c r="F35" i="25"/>
  <c r="I35" i="25" s="1"/>
  <c r="B46" i="142"/>
  <c r="D46" i="142"/>
  <c r="D22" i="142"/>
  <c r="C46" i="142"/>
  <c r="C22" i="142"/>
  <c r="F46" i="142"/>
  <c r="F22" i="142"/>
  <c r="G46" i="142"/>
  <c r="G22" i="142"/>
  <c r="E14" i="30"/>
  <c r="I14" i="30"/>
  <c r="D9" i="28"/>
  <c r="J12" i="29"/>
  <c r="J14" i="29" s="1"/>
  <c r="J4" i="29"/>
  <c r="G9" i="28"/>
  <c r="M12" i="29"/>
  <c r="M14" i="29" s="1"/>
  <c r="M4" i="29"/>
  <c r="C46" i="94"/>
  <c r="I12" i="29"/>
  <c r="I14" i="29" s="1"/>
  <c r="I4" i="29"/>
  <c r="L12" i="29"/>
  <c r="L14" i="29" s="1"/>
  <c r="L4" i="29"/>
  <c r="C20" i="28"/>
  <c r="C22" i="28" s="1"/>
  <c r="G20" i="28"/>
  <c r="F14" i="30"/>
  <c r="G14" i="30"/>
  <c r="I42" i="30"/>
  <c r="E42" i="30"/>
  <c r="D14" i="30"/>
  <c r="D19" i="30" s="1"/>
  <c r="D20" i="30" s="1"/>
  <c r="H14" i="30"/>
  <c r="D46" i="94"/>
  <c r="G46" i="94"/>
  <c r="G47" i="94" s="1"/>
  <c r="G22" i="28"/>
  <c r="E20" i="28"/>
  <c r="E22" i="28"/>
  <c r="G23" i="28"/>
  <c r="F20" i="28"/>
  <c r="D20" i="28"/>
  <c r="D22" i="28" s="1"/>
  <c r="F23" i="28"/>
  <c r="C23" i="28"/>
  <c r="L20" i="94"/>
  <c r="M20" i="94"/>
  <c r="N20" i="94"/>
  <c r="O20" i="94"/>
  <c r="P20" i="94"/>
  <c r="K20" i="94"/>
  <c r="B23" i="94"/>
  <c r="B47" i="94" s="1"/>
  <c r="C21" i="94"/>
  <c r="D21" i="94"/>
  <c r="F21" i="94"/>
  <c r="G21" i="94"/>
  <c r="C20" i="94"/>
  <c r="D20" i="94"/>
  <c r="E20" i="94"/>
  <c r="F20" i="94"/>
  <c r="G20" i="94"/>
  <c r="B20" i="94"/>
  <c r="B46" i="94" l="1"/>
  <c r="C47" i="94" s="1"/>
  <c r="C47" i="142"/>
  <c r="H4" i="29"/>
  <c r="C9" i="28"/>
  <c r="H12" i="29"/>
  <c r="H14" i="29" s="1"/>
  <c r="H15" i="29" s="1"/>
  <c r="C23" i="142"/>
  <c r="G23" i="142"/>
  <c r="D47" i="94"/>
  <c r="D47" i="142"/>
  <c r="G47" i="142"/>
  <c r="D23" i="142"/>
  <c r="E45" i="142"/>
  <c r="E21" i="142"/>
  <c r="E8" i="28"/>
  <c r="E45" i="94"/>
  <c r="M15" i="29"/>
  <c r="E43" i="30"/>
  <c r="E48" i="30" s="1"/>
  <c r="E49" i="30" s="1"/>
  <c r="E51" i="30" s="1"/>
  <c r="E52" i="30" s="1"/>
  <c r="E19" i="30"/>
  <c r="H43" i="30"/>
  <c r="H48" i="30" s="1"/>
  <c r="H49" i="30" s="1"/>
  <c r="H51" i="30" s="1"/>
  <c r="H52" i="30" s="1"/>
  <c r="H19" i="30"/>
  <c r="G43" i="30"/>
  <c r="G48" i="30" s="1"/>
  <c r="G49" i="30" s="1"/>
  <c r="G51" i="30" s="1"/>
  <c r="G52" i="30" s="1"/>
  <c r="G19" i="30"/>
  <c r="F43" i="30"/>
  <c r="F48" i="30" s="1"/>
  <c r="F49" i="30" s="1"/>
  <c r="F51" i="30" s="1"/>
  <c r="F52" i="30" s="1"/>
  <c r="F19" i="30"/>
  <c r="I43" i="30"/>
  <c r="I48" i="30" s="1"/>
  <c r="I49" i="30" s="1"/>
  <c r="I51" i="30" s="1"/>
  <c r="I52" i="30" s="1"/>
  <c r="I19" i="30"/>
  <c r="D23" i="28"/>
  <c r="J15" i="29"/>
  <c r="D43" i="30"/>
  <c r="D48" i="30" s="1"/>
  <c r="D49" i="30" s="1"/>
  <c r="D51" i="30" s="1"/>
  <c r="D52" i="30" s="1"/>
  <c r="P25" i="18"/>
  <c r="M25" i="18"/>
  <c r="N26" i="18" s="1"/>
  <c r="O26" i="18" s="1"/>
  <c r="D40" i="18"/>
  <c r="G40" i="18"/>
  <c r="D39" i="18"/>
  <c r="E39" i="18"/>
  <c r="F39" i="18"/>
  <c r="G39" i="18"/>
  <c r="D37" i="18"/>
  <c r="E38" i="18" s="1"/>
  <c r="F38" i="18" s="1"/>
  <c r="E37" i="18"/>
  <c r="F37" i="18"/>
  <c r="G37" i="18"/>
  <c r="D38" i="18"/>
  <c r="D35" i="18"/>
  <c r="E36" i="18" s="1"/>
  <c r="F36" i="18" s="1"/>
  <c r="E35" i="18"/>
  <c r="F35" i="18"/>
  <c r="G35" i="18"/>
  <c r="D36" i="18"/>
  <c r="D32" i="18"/>
  <c r="E32" i="18"/>
  <c r="F32" i="18"/>
  <c r="G32" i="18"/>
  <c r="D33" i="18"/>
  <c r="E33" i="18"/>
  <c r="F33" i="18"/>
  <c r="G33" i="18"/>
  <c r="D34" i="18"/>
  <c r="E34" i="18"/>
  <c r="F34" i="18"/>
  <c r="G34" i="18"/>
  <c r="D30" i="18"/>
  <c r="E31" i="18" s="1"/>
  <c r="F31" i="18" s="1"/>
  <c r="E30" i="18"/>
  <c r="F30" i="18"/>
  <c r="G30" i="18"/>
  <c r="D31" i="18"/>
  <c r="D27" i="18"/>
  <c r="E28" i="18" s="1"/>
  <c r="F28" i="18" s="1"/>
  <c r="E27" i="18"/>
  <c r="F27" i="18"/>
  <c r="G27" i="18"/>
  <c r="D28" i="18"/>
  <c r="E29" i="18" s="1"/>
  <c r="F29" i="18" s="1"/>
  <c r="D29" i="18"/>
  <c r="I15" i="29" l="1"/>
  <c r="K4" i="29"/>
  <c r="F9" i="28"/>
  <c r="E22" i="142"/>
  <c r="E46" i="94"/>
  <c r="E9" i="28"/>
  <c r="E46" i="142"/>
  <c r="K12" i="29"/>
  <c r="K14" i="29" s="1"/>
  <c r="H53" i="30"/>
  <c r="F53" i="30"/>
  <c r="D53" i="30"/>
  <c r="E53" i="30"/>
  <c r="G53" i="30"/>
  <c r="I53" i="30"/>
  <c r="P26" i="18"/>
  <c r="M26" i="18"/>
  <c r="M40" i="18"/>
  <c r="G38" i="18"/>
  <c r="G36" i="18"/>
  <c r="G31" i="18"/>
  <c r="G29" i="18"/>
  <c r="G28" i="18"/>
  <c r="O26" i="20"/>
  <c r="L26" i="20"/>
  <c r="L27" i="20" s="1"/>
  <c r="E47" i="94" l="1"/>
  <c r="F47" i="94"/>
  <c r="K15" i="29"/>
  <c r="L15" i="29"/>
  <c r="F23" i="142"/>
  <c r="E23" i="142"/>
  <c r="F47" i="142"/>
  <c r="E47" i="142"/>
  <c r="N27" i="18"/>
  <c r="O27" i="18" s="1"/>
  <c r="M27" i="18"/>
  <c r="P27" i="18"/>
  <c r="M27" i="20"/>
  <c r="N27" i="20" s="1"/>
  <c r="L28" i="20"/>
  <c r="M28" i="20"/>
  <c r="N28" i="20" s="1"/>
  <c r="N28" i="18" l="1"/>
  <c r="O28" i="18" s="1"/>
  <c r="M28" i="18"/>
  <c r="O27" i="20"/>
  <c r="O28" i="20"/>
  <c r="L29" i="20"/>
  <c r="M29" i="20"/>
  <c r="N29" i="20" s="1"/>
  <c r="P28" i="18" l="1"/>
  <c r="N29" i="18"/>
  <c r="O29" i="18" s="1"/>
  <c r="M29" i="18"/>
  <c r="P29" i="18"/>
  <c r="O29" i="20"/>
  <c r="L30" i="20"/>
  <c r="M30" i="20"/>
  <c r="N30" i="20" s="1"/>
  <c r="N30" i="18" l="1"/>
  <c r="O30" i="18" s="1"/>
  <c r="M30" i="18"/>
  <c r="P30" i="18"/>
  <c r="O30" i="20"/>
  <c r="L31" i="20"/>
  <c r="M31" i="20"/>
  <c r="N31" i="20" s="1"/>
  <c r="N31" i="18" l="1"/>
  <c r="O31" i="18" s="1"/>
  <c r="M31" i="18"/>
  <c r="P31" i="18"/>
  <c r="O31" i="20"/>
  <c r="L32" i="20"/>
  <c r="M32" i="20"/>
  <c r="N32" i="20" s="1"/>
  <c r="N32" i="18" l="1"/>
  <c r="O32" i="18" s="1"/>
  <c r="M32" i="18"/>
  <c r="P32" i="18"/>
  <c r="O32" i="20"/>
  <c r="L33" i="20"/>
  <c r="M33" i="20"/>
  <c r="N33" i="20" s="1"/>
  <c r="N33" i="18" l="1"/>
  <c r="O33" i="18" s="1"/>
  <c r="M33" i="18"/>
  <c r="P33" i="18"/>
  <c r="O33" i="20"/>
  <c r="L34" i="20"/>
  <c r="M34" i="20"/>
  <c r="N34" i="20" s="1"/>
  <c r="N34" i="18" l="1"/>
  <c r="O34" i="18" s="1"/>
  <c r="M34" i="18"/>
  <c r="O34" i="20"/>
  <c r="L35" i="20"/>
  <c r="M35" i="20"/>
  <c r="N35" i="20" s="1"/>
  <c r="P34" i="18" l="1"/>
  <c r="N35" i="18"/>
  <c r="O35" i="18" s="1"/>
  <c r="M35" i="18"/>
  <c r="O35" i="20"/>
  <c r="L36" i="20"/>
  <c r="M36" i="20"/>
  <c r="N36" i="20" s="1"/>
  <c r="P35" i="18" l="1"/>
  <c r="N36" i="18"/>
  <c r="O36" i="18" s="1"/>
  <c r="M36" i="18"/>
  <c r="O36" i="20"/>
  <c r="L37" i="20"/>
  <c r="M37" i="20"/>
  <c r="N37" i="20" s="1"/>
  <c r="P36" i="18" l="1"/>
  <c r="N37" i="18"/>
  <c r="O37" i="18" s="1"/>
  <c r="M37" i="18"/>
  <c r="O37" i="20"/>
  <c r="L38" i="20"/>
  <c r="M38" i="20"/>
  <c r="N38" i="20" s="1"/>
  <c r="P37" i="18" l="1"/>
  <c r="N38" i="18"/>
  <c r="O38" i="18" s="1"/>
  <c r="M38" i="18"/>
  <c r="O38" i="20"/>
  <c r="L39" i="20"/>
  <c r="M39" i="20"/>
  <c r="N39" i="20" s="1"/>
  <c r="P38" i="18" l="1"/>
  <c r="N39" i="18"/>
  <c r="O39" i="18" s="1"/>
  <c r="M39" i="18"/>
  <c r="P40" i="18" s="1"/>
  <c r="P39" i="18"/>
  <c r="O39" i="20"/>
  <c r="L40" i="20"/>
  <c r="O41" i="20" s="1"/>
  <c r="M40" i="20"/>
  <c r="N40" i="20" s="1"/>
  <c r="O40" i="20" l="1"/>
  <c r="E49" i="25" l="1"/>
  <c r="D49" i="25"/>
  <c r="C49" i="25"/>
  <c r="B49" i="25"/>
  <c r="B7" i="26"/>
  <c r="C7" i="26"/>
  <c r="D7" i="26"/>
  <c r="B26" i="25"/>
  <c r="D15" i="26" l="1"/>
  <c r="D8" i="26"/>
  <c r="D16" i="26" s="1"/>
  <c r="C15" i="26"/>
  <c r="C8" i="26"/>
  <c r="C16" i="26" s="1"/>
  <c r="B15" i="26"/>
  <c r="B8" i="26"/>
  <c r="B16" i="26" s="1"/>
  <c r="F49" i="25"/>
  <c r="I49" i="25" s="1"/>
  <c r="H49" i="25"/>
  <c r="K49" i="25" s="1"/>
  <c r="G49" i="25"/>
  <c r="J49" i="25" s="1"/>
  <c r="K40" i="96"/>
  <c r="J40" i="96"/>
  <c r="I40" i="96"/>
  <c r="C40" i="96"/>
  <c r="D40" i="96"/>
  <c r="B40" i="96"/>
  <c r="B17" i="26" l="1"/>
  <c r="C17" i="26"/>
  <c r="D17" i="26"/>
  <c r="C13" i="26"/>
  <c r="D13" i="26"/>
  <c r="B13" i="26"/>
  <c r="C29" i="78" l="1"/>
  <c r="D29" i="78"/>
  <c r="E29" i="78"/>
  <c r="F29" i="78"/>
  <c r="F33" i="78" s="1"/>
  <c r="G29" i="78"/>
  <c r="C30" i="78"/>
  <c r="D30" i="78"/>
  <c r="D33" i="78" s="1"/>
  <c r="E30" i="78"/>
  <c r="F30" i="78"/>
  <c r="G30" i="78"/>
  <c r="D31" i="78"/>
  <c r="E31" i="78"/>
  <c r="F31" i="78"/>
  <c r="G31" i="78"/>
  <c r="C32" i="78"/>
  <c r="D32" i="78"/>
  <c r="E32" i="78"/>
  <c r="F32" i="78"/>
  <c r="G32" i="78"/>
  <c r="G33" i="78" s="1"/>
  <c r="E33" i="78"/>
  <c r="B30" i="78"/>
  <c r="B31" i="78"/>
  <c r="B32" i="78"/>
  <c r="B33" i="78"/>
  <c r="B29" i="78"/>
  <c r="G25" i="78"/>
  <c r="F25" i="78"/>
  <c r="E25" i="78"/>
  <c r="D25" i="78"/>
  <c r="C25" i="78"/>
  <c r="B25" i="78"/>
  <c r="C21" i="78"/>
  <c r="D21" i="78"/>
  <c r="E21" i="78"/>
  <c r="F21" i="78"/>
  <c r="G21" i="78"/>
  <c r="C22" i="78"/>
  <c r="D22" i="78"/>
  <c r="E22" i="78"/>
  <c r="F22" i="78"/>
  <c r="G22" i="78"/>
  <c r="C23" i="78"/>
  <c r="D23" i="78"/>
  <c r="E23" i="78"/>
  <c r="F23" i="78"/>
  <c r="G23" i="78"/>
  <c r="C24" i="78"/>
  <c r="D24" i="78"/>
  <c r="E24" i="78"/>
  <c r="F24" i="78"/>
  <c r="G24" i="78"/>
  <c r="B22" i="78"/>
  <c r="B23" i="78"/>
  <c r="B24" i="78"/>
  <c r="B21" i="78"/>
  <c r="A13" i="78"/>
  <c r="A14" i="78"/>
  <c r="A15" i="78"/>
  <c r="A12" i="78"/>
  <c r="C8" i="78"/>
  <c r="B8" i="78"/>
  <c r="C28" i="78"/>
  <c r="D28" i="78"/>
  <c r="E28" i="78"/>
  <c r="F28" i="78"/>
  <c r="G28" i="78"/>
  <c r="B28" i="78"/>
  <c r="C20" i="78"/>
  <c r="D20" i="78"/>
  <c r="E20" i="78"/>
  <c r="F20" i="78"/>
  <c r="G20" i="78"/>
  <c r="B20" i="78"/>
  <c r="C11" i="78"/>
  <c r="D11" i="78"/>
  <c r="E11" i="78"/>
  <c r="F11" i="78"/>
  <c r="G11" i="78"/>
  <c r="B11" i="78"/>
  <c r="C13" i="39"/>
  <c r="C29" i="39"/>
  <c r="D13" i="39"/>
  <c r="E13" i="39"/>
  <c r="E29" i="39" s="1"/>
  <c r="F13" i="39"/>
  <c r="F29" i="39" s="1"/>
  <c r="G29" i="39"/>
  <c r="D29" i="39"/>
  <c r="C23" i="39"/>
  <c r="D23" i="39"/>
  <c r="E23" i="39"/>
  <c r="F23" i="39"/>
  <c r="G23" i="39"/>
  <c r="C24" i="39"/>
  <c r="D24" i="39"/>
  <c r="E24" i="39"/>
  <c r="F24" i="39"/>
  <c r="G24" i="39"/>
  <c r="C25" i="39"/>
  <c r="D25" i="39"/>
  <c r="E25" i="39"/>
  <c r="F25" i="39"/>
  <c r="G25" i="39"/>
  <c r="C27" i="39"/>
  <c r="D27" i="39"/>
  <c r="E27" i="39"/>
  <c r="F27" i="39"/>
  <c r="G27" i="39"/>
  <c r="C28" i="39"/>
  <c r="D28" i="39"/>
  <c r="E28" i="39"/>
  <c r="F28" i="39"/>
  <c r="G28" i="39"/>
  <c r="C31" i="39"/>
  <c r="D31" i="39"/>
  <c r="E31" i="39"/>
  <c r="F31" i="39"/>
  <c r="G31" i="39"/>
  <c r="G33" i="39"/>
  <c r="D21" i="39"/>
  <c r="E21" i="39"/>
  <c r="F21" i="39"/>
  <c r="G21" i="39"/>
  <c r="C21" i="39"/>
  <c r="C34" i="24"/>
  <c r="D34" i="24"/>
  <c r="F34" i="24"/>
  <c r="H34" i="24"/>
  <c r="B35" i="24"/>
  <c r="C35" i="24"/>
  <c r="F35" i="24"/>
  <c r="C36" i="24"/>
  <c r="E36" i="24"/>
  <c r="G36" i="24"/>
  <c r="I36" i="24"/>
  <c r="C37" i="24"/>
  <c r="E37" i="24"/>
  <c r="G37" i="24"/>
  <c r="I37" i="24"/>
  <c r="E38" i="24"/>
  <c r="I38" i="24"/>
  <c r="G39" i="24"/>
  <c r="C40" i="24"/>
  <c r="G40" i="24"/>
  <c r="C41" i="24"/>
  <c r="G41" i="24"/>
  <c r="C42" i="24"/>
  <c r="G42" i="24"/>
  <c r="D43" i="24"/>
  <c r="H43" i="24"/>
  <c r="D44" i="24"/>
  <c r="H44" i="24"/>
  <c r="E45" i="24"/>
  <c r="I45" i="24"/>
  <c r="F46" i="24"/>
  <c r="B47" i="24"/>
  <c r="F47" i="24"/>
  <c r="B48" i="24"/>
  <c r="F48" i="24"/>
  <c r="B49" i="24"/>
  <c r="F49" i="24"/>
  <c r="B50" i="24"/>
  <c r="F50" i="24"/>
  <c r="C33" i="24"/>
  <c r="F30" i="24"/>
  <c r="H30" i="24"/>
  <c r="D30" i="24"/>
  <c r="B33" i="24"/>
  <c r="D33" i="24"/>
  <c r="E33" i="24"/>
  <c r="F33" i="24"/>
  <c r="G33" i="24"/>
  <c r="H33" i="24"/>
  <c r="I33" i="24"/>
  <c r="B34" i="24"/>
  <c r="E34" i="24"/>
  <c r="G34" i="24"/>
  <c r="I34" i="24"/>
  <c r="D35" i="24"/>
  <c r="E35" i="24"/>
  <c r="G35" i="24"/>
  <c r="H35" i="24"/>
  <c r="I35" i="24"/>
  <c r="D36" i="24"/>
  <c r="F36" i="24"/>
  <c r="H36" i="24"/>
  <c r="B37" i="24"/>
  <c r="D37" i="24"/>
  <c r="F37" i="24"/>
  <c r="H37" i="24"/>
  <c r="B38" i="24"/>
  <c r="D38" i="24"/>
  <c r="F38" i="24"/>
  <c r="G38" i="24"/>
  <c r="H38" i="24"/>
  <c r="D39" i="24"/>
  <c r="E39" i="24"/>
  <c r="F39" i="24"/>
  <c r="H39" i="24"/>
  <c r="I39" i="24"/>
  <c r="B40" i="24"/>
  <c r="D40" i="24"/>
  <c r="E40" i="24"/>
  <c r="F40" i="24"/>
  <c r="H40" i="24"/>
  <c r="I40" i="24"/>
  <c r="B41" i="24"/>
  <c r="D41" i="24"/>
  <c r="E41" i="24"/>
  <c r="F41" i="24"/>
  <c r="H41" i="24"/>
  <c r="I41" i="24"/>
  <c r="B42" i="24"/>
  <c r="D42" i="24"/>
  <c r="E42" i="24"/>
  <c r="F42" i="24"/>
  <c r="H42" i="24"/>
  <c r="I42" i="24"/>
  <c r="B43" i="24"/>
  <c r="E43" i="24"/>
  <c r="F43" i="24"/>
  <c r="G43" i="24"/>
  <c r="I43" i="24"/>
  <c r="B44" i="24"/>
  <c r="C44" i="24"/>
  <c r="E44" i="24"/>
  <c r="F44" i="24"/>
  <c r="G44" i="24"/>
  <c r="I44" i="24"/>
  <c r="B45" i="24"/>
  <c r="D45" i="24"/>
  <c r="F45" i="24"/>
  <c r="G45" i="24"/>
  <c r="H45" i="24"/>
  <c r="B46" i="24"/>
  <c r="D46" i="24"/>
  <c r="E46" i="24"/>
  <c r="G46" i="24"/>
  <c r="H46" i="24"/>
  <c r="I46" i="24"/>
  <c r="C47" i="24"/>
  <c r="D47" i="24"/>
  <c r="E47" i="24"/>
  <c r="G47" i="24"/>
  <c r="H47" i="24"/>
  <c r="I47" i="24"/>
  <c r="C48" i="24"/>
  <c r="D48" i="24"/>
  <c r="E48" i="24"/>
  <c r="G48" i="24"/>
  <c r="H48" i="24"/>
  <c r="I48" i="24"/>
  <c r="C49" i="24"/>
  <c r="D49" i="24"/>
  <c r="E49" i="24"/>
  <c r="G49" i="24"/>
  <c r="H49" i="24"/>
  <c r="I49" i="24"/>
  <c r="C50" i="24"/>
  <c r="D50" i="24"/>
  <c r="E50" i="24"/>
  <c r="G50" i="24"/>
  <c r="H50" i="24"/>
  <c r="I50" i="24"/>
  <c r="D32" i="24"/>
  <c r="E32" i="24"/>
  <c r="F32" i="24"/>
  <c r="G32" i="24"/>
  <c r="H32" i="24"/>
  <c r="I32" i="24"/>
  <c r="D35" i="91"/>
  <c r="C35" i="91"/>
  <c r="D34" i="91"/>
  <c r="D33" i="91"/>
  <c r="D32" i="91"/>
  <c r="D31" i="91"/>
  <c r="D30" i="91"/>
  <c r="D29" i="91"/>
  <c r="D28" i="91"/>
  <c r="D27" i="91"/>
  <c r="D26" i="91"/>
  <c r="D25" i="91"/>
  <c r="D24" i="91"/>
  <c r="D23" i="91"/>
  <c r="C17" i="91"/>
  <c r="D17" i="91" s="1"/>
  <c r="D16" i="91"/>
  <c r="D15" i="91"/>
  <c r="D14" i="91"/>
  <c r="D13" i="91"/>
  <c r="D12" i="91"/>
  <c r="D11" i="91"/>
  <c r="D10" i="91"/>
  <c r="D9" i="91"/>
  <c r="D8" i="91"/>
  <c r="D7" i="91"/>
  <c r="D6" i="91"/>
  <c r="D5" i="91"/>
  <c r="B15" i="40" l="1"/>
  <c r="C15" i="40"/>
  <c r="D15" i="40"/>
  <c r="E15" i="40"/>
  <c r="F15" i="40"/>
  <c r="G15" i="40"/>
  <c r="B16" i="40"/>
  <c r="C16" i="40"/>
  <c r="D16" i="40"/>
  <c r="E16" i="40"/>
  <c r="F16" i="40"/>
  <c r="G16" i="40"/>
  <c r="C14" i="40"/>
  <c r="D14" i="40"/>
  <c r="E14" i="40"/>
  <c r="F14" i="40"/>
  <c r="G14" i="40"/>
  <c r="B14" i="40"/>
  <c r="B25" i="41"/>
  <c r="C25" i="41"/>
  <c r="D25" i="41"/>
  <c r="B26" i="41"/>
  <c r="C26" i="41"/>
  <c r="D26" i="41"/>
  <c r="B27" i="41"/>
  <c r="C27" i="41"/>
  <c r="D27" i="41"/>
  <c r="B28" i="41"/>
  <c r="C28" i="41"/>
  <c r="D28" i="41"/>
  <c r="B29" i="41"/>
  <c r="C29" i="41"/>
  <c r="D29" i="41"/>
  <c r="B30" i="41"/>
  <c r="C30" i="41"/>
  <c r="D30" i="41"/>
  <c r="B31" i="41"/>
  <c r="C31" i="41"/>
  <c r="D31" i="41"/>
  <c r="B33" i="41"/>
  <c r="C33" i="41"/>
  <c r="D33" i="41"/>
  <c r="B34" i="41"/>
  <c r="C34" i="41"/>
  <c r="D34" i="41"/>
  <c r="B35" i="41"/>
  <c r="C35" i="41"/>
  <c r="D35" i="41"/>
  <c r="B36" i="41"/>
  <c r="C36" i="41"/>
  <c r="D36" i="41"/>
  <c r="B37" i="41"/>
  <c r="C37" i="41"/>
  <c r="D37" i="41"/>
  <c r="C24" i="41"/>
  <c r="D24" i="41"/>
  <c r="B24" i="41"/>
  <c r="C12" i="29"/>
  <c r="D12" i="29"/>
  <c r="E12" i="29"/>
  <c r="F12" i="29"/>
  <c r="G12" i="29"/>
  <c r="C16" i="29"/>
  <c r="C11" i="29"/>
  <c r="D11" i="29"/>
  <c r="E11" i="29"/>
  <c r="F11" i="29"/>
  <c r="G11" i="29"/>
  <c r="H11" i="29"/>
  <c r="I11" i="29"/>
  <c r="J11" i="29"/>
  <c r="K11" i="29"/>
  <c r="L11" i="29"/>
  <c r="M11" i="29"/>
  <c r="M9" i="29"/>
  <c r="L9" i="29"/>
  <c r="K9" i="29"/>
  <c r="J9" i="29"/>
  <c r="I9" i="29"/>
  <c r="H9" i="29"/>
  <c r="G9" i="29"/>
  <c r="F9" i="29"/>
  <c r="E9" i="29"/>
  <c r="D9" i="29"/>
  <c r="C9" i="29"/>
  <c r="M6" i="29"/>
  <c r="L6" i="29"/>
  <c r="K6" i="29"/>
  <c r="J6" i="29"/>
  <c r="I6" i="29"/>
  <c r="H6" i="29"/>
  <c r="G6" i="29"/>
  <c r="F6" i="29"/>
  <c r="E6" i="29"/>
  <c r="D6" i="29"/>
  <c r="C6" i="29"/>
  <c r="C7" i="29" s="1"/>
  <c r="G7" i="29" l="1"/>
  <c r="K7" i="29"/>
  <c r="D7" i="29"/>
  <c r="H7" i="29"/>
  <c r="L7" i="29"/>
  <c r="J7" i="29"/>
  <c r="M7" i="29"/>
  <c r="I7" i="29"/>
  <c r="F7" i="29"/>
  <c r="E7" i="29"/>
  <c r="F38" i="100"/>
  <c r="D34" i="100"/>
  <c r="D35" i="100"/>
  <c r="D36" i="100"/>
  <c r="D37" i="100"/>
  <c r="M56" i="100"/>
  <c r="L56" i="100"/>
  <c r="K56" i="100"/>
  <c r="J56" i="100"/>
  <c r="I56" i="100"/>
  <c r="H56" i="100"/>
  <c r="G56" i="100"/>
  <c r="F56" i="100"/>
  <c r="E56" i="100"/>
  <c r="C56" i="100"/>
  <c r="B56" i="100"/>
  <c r="D56" i="100" s="1"/>
  <c r="A56" i="100"/>
  <c r="M55" i="100"/>
  <c r="L55" i="100"/>
  <c r="K55" i="100"/>
  <c r="J55" i="100"/>
  <c r="I55" i="100"/>
  <c r="H55" i="100"/>
  <c r="G55" i="100"/>
  <c r="F55" i="100"/>
  <c r="E55" i="100"/>
  <c r="C55" i="100"/>
  <c r="B55" i="100"/>
  <c r="D55" i="100" s="1"/>
  <c r="A55" i="100"/>
  <c r="M54" i="100"/>
  <c r="L54" i="100"/>
  <c r="K54" i="100"/>
  <c r="J54" i="100"/>
  <c r="I54" i="100"/>
  <c r="H54" i="100"/>
  <c r="G54" i="100"/>
  <c r="F54" i="100"/>
  <c r="E54" i="100"/>
  <c r="C54" i="100"/>
  <c r="D54" i="100" s="1"/>
  <c r="B54" i="100"/>
  <c r="A54" i="100"/>
  <c r="M53" i="100"/>
  <c r="L53" i="100"/>
  <c r="K53" i="100"/>
  <c r="J53" i="100"/>
  <c r="I53" i="100"/>
  <c r="H53" i="100"/>
  <c r="G53" i="100"/>
  <c r="F53" i="100"/>
  <c r="E53" i="100"/>
  <c r="D53" i="100"/>
  <c r="C53" i="100"/>
  <c r="B53" i="100"/>
  <c r="A53" i="100"/>
  <c r="M52" i="100"/>
  <c r="L52" i="100"/>
  <c r="K52" i="100"/>
  <c r="J52" i="100"/>
  <c r="I52" i="100"/>
  <c r="H52" i="100"/>
  <c r="G52" i="100"/>
  <c r="F52" i="100"/>
  <c r="E52" i="100"/>
  <c r="C52" i="100"/>
  <c r="B52" i="100"/>
  <c r="D52" i="100" s="1"/>
  <c r="A52" i="100"/>
  <c r="M51" i="100"/>
  <c r="L51" i="100"/>
  <c r="K51" i="100"/>
  <c r="J51" i="100"/>
  <c r="I51" i="100"/>
  <c r="H51" i="100"/>
  <c r="G51" i="100"/>
  <c r="F51" i="100"/>
  <c r="E51" i="100"/>
  <c r="C51" i="100"/>
  <c r="B51" i="100"/>
  <c r="D51" i="100" s="1"/>
  <c r="A51" i="100"/>
  <c r="M50" i="100"/>
  <c r="L50" i="100"/>
  <c r="K50" i="100"/>
  <c r="J50" i="100"/>
  <c r="I50" i="100"/>
  <c r="H50" i="100"/>
  <c r="G50" i="100"/>
  <c r="F50" i="100"/>
  <c r="E50" i="100"/>
  <c r="C50" i="100"/>
  <c r="D50" i="100" s="1"/>
  <c r="B50" i="100"/>
  <c r="A50" i="100"/>
  <c r="M49" i="100"/>
  <c r="L49" i="100"/>
  <c r="K49" i="100"/>
  <c r="J49" i="100"/>
  <c r="I49" i="100"/>
  <c r="H49" i="100"/>
  <c r="G49" i="100"/>
  <c r="F49" i="100"/>
  <c r="E49" i="100"/>
  <c r="D49" i="100"/>
  <c r="C49" i="100"/>
  <c r="B49" i="100"/>
  <c r="A49" i="100"/>
  <c r="M48" i="100"/>
  <c r="L48" i="100"/>
  <c r="K48" i="100"/>
  <c r="J48" i="100"/>
  <c r="I48" i="100"/>
  <c r="H48" i="100"/>
  <c r="G48" i="100"/>
  <c r="F48" i="100"/>
  <c r="E48" i="100"/>
  <c r="C48" i="100"/>
  <c r="B48" i="100"/>
  <c r="D48" i="100" s="1"/>
  <c r="A48" i="100"/>
  <c r="M47" i="100"/>
  <c r="L47" i="100"/>
  <c r="K47" i="100"/>
  <c r="J47" i="100"/>
  <c r="I47" i="100"/>
  <c r="H47" i="100"/>
  <c r="G47" i="100"/>
  <c r="F47" i="100"/>
  <c r="E47" i="100"/>
  <c r="C47" i="100"/>
  <c r="B47" i="100"/>
  <c r="D47" i="100" s="1"/>
  <c r="A47" i="100"/>
  <c r="M46" i="100"/>
  <c r="L46" i="100"/>
  <c r="K46" i="100"/>
  <c r="J46" i="100"/>
  <c r="I46" i="100"/>
  <c r="H46" i="100"/>
  <c r="G46" i="100"/>
  <c r="F46" i="100"/>
  <c r="E46" i="100"/>
  <c r="C46" i="100"/>
  <c r="D46" i="100" s="1"/>
  <c r="B46" i="100"/>
  <c r="A46" i="100"/>
  <c r="M45" i="100"/>
  <c r="L45" i="100"/>
  <c r="K45" i="100"/>
  <c r="J45" i="100"/>
  <c r="I45" i="100"/>
  <c r="H45" i="100"/>
  <c r="G45" i="100"/>
  <c r="F45" i="100"/>
  <c r="E45" i="100"/>
  <c r="D45" i="100"/>
  <c r="C45" i="100"/>
  <c r="B45" i="100"/>
  <c r="A45" i="100"/>
  <c r="M44" i="100"/>
  <c r="L44" i="100"/>
  <c r="K44" i="100"/>
  <c r="J44" i="100"/>
  <c r="I44" i="100"/>
  <c r="H44" i="100"/>
  <c r="G44" i="100"/>
  <c r="F44" i="100"/>
  <c r="E44" i="100"/>
  <c r="C44" i="100"/>
  <c r="B44" i="100"/>
  <c r="D44" i="100" s="1"/>
  <c r="A44" i="100"/>
  <c r="M43" i="100"/>
  <c r="L43" i="100"/>
  <c r="K43" i="100"/>
  <c r="J43" i="100"/>
  <c r="I43" i="100"/>
  <c r="H43" i="100"/>
  <c r="G43" i="100"/>
  <c r="F43" i="100"/>
  <c r="E43" i="100"/>
  <c r="C43" i="100"/>
  <c r="B43" i="100"/>
  <c r="D43" i="100" s="1"/>
  <c r="A43" i="100"/>
  <c r="M42" i="100"/>
  <c r="L42" i="100"/>
  <c r="K42" i="100"/>
  <c r="J42" i="100"/>
  <c r="I42" i="100"/>
  <c r="H42" i="100"/>
  <c r="G42" i="100"/>
  <c r="F42" i="100"/>
  <c r="E42" i="100"/>
  <c r="C42" i="100"/>
  <c r="D42" i="100" s="1"/>
  <c r="B42" i="100"/>
  <c r="A42" i="100"/>
  <c r="M41" i="100"/>
  <c r="L41" i="100"/>
  <c r="K41" i="100"/>
  <c r="J41" i="100"/>
  <c r="I41" i="100"/>
  <c r="H41" i="100"/>
  <c r="G41" i="100"/>
  <c r="F41" i="100"/>
  <c r="E41" i="100"/>
  <c r="D41" i="100"/>
  <c r="C41" i="100"/>
  <c r="B41" i="100"/>
  <c r="A41" i="100"/>
  <c r="M40" i="100"/>
  <c r="L40" i="100"/>
  <c r="K40" i="100"/>
  <c r="J40" i="100"/>
  <c r="I40" i="100"/>
  <c r="H40" i="100"/>
  <c r="G40" i="100"/>
  <c r="F40" i="100"/>
  <c r="E40" i="100"/>
  <c r="C40" i="100"/>
  <c r="B40" i="100"/>
  <c r="D40" i="100" s="1"/>
  <c r="A40" i="100"/>
  <c r="M39" i="100"/>
  <c r="L39" i="100"/>
  <c r="K39" i="100"/>
  <c r="J39" i="100"/>
  <c r="I39" i="100"/>
  <c r="H39" i="100"/>
  <c r="G39" i="100"/>
  <c r="F39" i="100"/>
  <c r="E39" i="100"/>
  <c r="C39" i="100"/>
  <c r="B39" i="100"/>
  <c r="D39" i="100" s="1"/>
  <c r="A39" i="100"/>
  <c r="M38" i="100"/>
  <c r="L38" i="100"/>
  <c r="K38" i="100"/>
  <c r="J38" i="100"/>
  <c r="I38" i="100"/>
  <c r="H38" i="100"/>
  <c r="G38" i="100"/>
  <c r="E38" i="100"/>
  <c r="C38" i="100"/>
  <c r="D38" i="100" s="1"/>
  <c r="B38" i="100"/>
  <c r="A38" i="100"/>
  <c r="M37" i="100"/>
  <c r="L37" i="100"/>
  <c r="K37" i="100"/>
  <c r="J37" i="100"/>
  <c r="I37" i="100"/>
  <c r="H37" i="100"/>
  <c r="G37" i="100"/>
  <c r="F37" i="100"/>
  <c r="E37" i="100"/>
  <c r="C37" i="100"/>
  <c r="B37" i="100"/>
  <c r="A37" i="100"/>
  <c r="M36" i="100"/>
  <c r="L36" i="100"/>
  <c r="K36" i="100"/>
  <c r="J36" i="100"/>
  <c r="I36" i="100"/>
  <c r="H36" i="100"/>
  <c r="G36" i="100"/>
  <c r="F36" i="100"/>
  <c r="E36" i="100"/>
  <c r="C36" i="100"/>
  <c r="B36" i="100"/>
  <c r="A36" i="100"/>
  <c r="M35" i="100"/>
  <c r="L35" i="100"/>
  <c r="K35" i="100"/>
  <c r="J35" i="100"/>
  <c r="I35" i="100"/>
  <c r="H35" i="100"/>
  <c r="G35" i="100"/>
  <c r="F35" i="100"/>
  <c r="E35" i="100"/>
  <c r="C35" i="100"/>
  <c r="B35" i="100"/>
  <c r="A35" i="100"/>
  <c r="M34" i="100"/>
  <c r="L34" i="100"/>
  <c r="K34" i="100"/>
  <c r="J34" i="100"/>
  <c r="I34" i="100"/>
  <c r="H34" i="100"/>
  <c r="G34" i="100"/>
  <c r="F34" i="100"/>
  <c r="E34" i="100"/>
  <c r="C34" i="100"/>
  <c r="B34" i="100"/>
  <c r="A34" i="100"/>
  <c r="L31" i="98" l="1"/>
  <c r="M31" i="98"/>
  <c r="N31" i="98"/>
  <c r="O31" i="98"/>
  <c r="P31" i="98"/>
  <c r="K31" i="98"/>
  <c r="C21" i="98"/>
  <c r="L21" i="98" s="1"/>
  <c r="D21" i="98"/>
  <c r="M21" i="98" s="1"/>
  <c r="E21" i="98"/>
  <c r="N21" i="98" s="1"/>
  <c r="F21" i="98"/>
  <c r="O21" i="98" s="1"/>
  <c r="G21" i="98"/>
  <c r="P21" i="98" s="1"/>
  <c r="B21" i="98"/>
  <c r="K21" i="98" s="1"/>
  <c r="J21" i="97"/>
  <c r="K21" i="97"/>
  <c r="L21" i="97"/>
  <c r="M21" i="97"/>
  <c r="N21" i="97"/>
  <c r="O21" i="97"/>
  <c r="K19" i="97"/>
  <c r="L19" i="97"/>
  <c r="M19" i="97"/>
  <c r="N19" i="97"/>
  <c r="O19" i="97"/>
  <c r="J19" i="97"/>
  <c r="K28" i="97"/>
  <c r="L28" i="97"/>
  <c r="M28" i="97"/>
  <c r="N28" i="97"/>
  <c r="O28" i="97"/>
  <c r="J28" i="97"/>
  <c r="J27" i="97"/>
  <c r="K27" i="97"/>
  <c r="L27" i="97"/>
  <c r="M27" i="97"/>
  <c r="N27" i="97"/>
  <c r="O27" i="97"/>
  <c r="K26" i="97"/>
  <c r="L26" i="97"/>
  <c r="M26" i="97"/>
  <c r="N26" i="97"/>
  <c r="O26" i="97"/>
  <c r="J26" i="97"/>
  <c r="J25" i="97"/>
  <c r="K25" i="97"/>
  <c r="L25" i="97"/>
  <c r="M25" i="97"/>
  <c r="N25" i="97"/>
  <c r="O25" i="97"/>
  <c r="J23" i="97"/>
  <c r="K23" i="97"/>
  <c r="L23" i="97"/>
  <c r="M23" i="97"/>
  <c r="N23" i="97"/>
  <c r="O23" i="97"/>
  <c r="J24" i="97"/>
  <c r="K24" i="97"/>
  <c r="L24" i="97"/>
  <c r="M24" i="97"/>
  <c r="N24" i="97"/>
  <c r="O24" i="97"/>
  <c r="K22" i="97"/>
  <c r="L22" i="97"/>
  <c r="M22" i="97"/>
  <c r="N22" i="97"/>
  <c r="O22" i="97"/>
  <c r="J22" i="97"/>
  <c r="K20" i="97"/>
  <c r="L20" i="97"/>
  <c r="M20" i="97"/>
  <c r="N20" i="97"/>
  <c r="O20" i="97"/>
  <c r="J20" i="97"/>
  <c r="C18" i="31"/>
  <c r="D18" i="31"/>
  <c r="E18" i="31"/>
  <c r="F18" i="31"/>
  <c r="G18" i="31"/>
  <c r="B18" i="31"/>
  <c r="B24" i="31"/>
  <c r="B23" i="98"/>
  <c r="K23" i="98" s="1"/>
  <c r="C23" i="98"/>
  <c r="L23" i="98" s="1"/>
  <c r="D23" i="98"/>
  <c r="M23" i="98" s="1"/>
  <c r="E23" i="98"/>
  <c r="N23" i="98" s="1"/>
  <c r="F23" i="98"/>
  <c r="O23" i="98" s="1"/>
  <c r="G23" i="98"/>
  <c r="P23" i="98" s="1"/>
  <c r="B24" i="98"/>
  <c r="K24" i="98" s="1"/>
  <c r="C24" i="98"/>
  <c r="L24" i="98" s="1"/>
  <c r="D24" i="98"/>
  <c r="M24" i="98" s="1"/>
  <c r="E24" i="98"/>
  <c r="N24" i="98" s="1"/>
  <c r="F24" i="98"/>
  <c r="O24" i="98" s="1"/>
  <c r="B25" i="98"/>
  <c r="K25" i="98" s="1"/>
  <c r="C25" i="98"/>
  <c r="L25" i="98" s="1"/>
  <c r="D25" i="98"/>
  <c r="M25" i="98" s="1"/>
  <c r="E25" i="98"/>
  <c r="N25" i="98" s="1"/>
  <c r="F25" i="98"/>
  <c r="O25" i="98" s="1"/>
  <c r="G25" i="98"/>
  <c r="P25" i="98" s="1"/>
  <c r="B26" i="98"/>
  <c r="K26" i="98" s="1"/>
  <c r="C26" i="98"/>
  <c r="L26" i="98" s="1"/>
  <c r="D26" i="98"/>
  <c r="M26" i="98" s="1"/>
  <c r="E26" i="98"/>
  <c r="N26" i="98" s="1"/>
  <c r="F26" i="98"/>
  <c r="O26" i="98" s="1"/>
  <c r="G26" i="98"/>
  <c r="P26" i="98" s="1"/>
  <c r="D52" i="32"/>
  <c r="E52" i="32"/>
  <c r="F52" i="32"/>
  <c r="G52" i="32"/>
  <c r="B52" i="32"/>
  <c r="B32" i="32"/>
  <c r="C32" i="32"/>
  <c r="D32" i="32"/>
  <c r="E32" i="32"/>
  <c r="F32" i="32"/>
  <c r="G32" i="32"/>
  <c r="B33" i="32"/>
  <c r="C33" i="32"/>
  <c r="D33" i="32"/>
  <c r="E33" i="32"/>
  <c r="F33" i="32"/>
  <c r="G33" i="32"/>
  <c r="B34" i="32"/>
  <c r="C34" i="32"/>
  <c r="D34" i="32"/>
  <c r="E34" i="32"/>
  <c r="F34" i="32"/>
  <c r="G34" i="32"/>
  <c r="B35" i="32"/>
  <c r="C35" i="32"/>
  <c r="D35" i="32"/>
  <c r="E35" i="32"/>
  <c r="F35" i="32"/>
  <c r="G35" i="32"/>
  <c r="B36" i="32"/>
  <c r="C36" i="32"/>
  <c r="D36" i="32"/>
  <c r="E36" i="32"/>
  <c r="F36" i="32"/>
  <c r="G36" i="32"/>
  <c r="B37" i="32"/>
  <c r="C37" i="32"/>
  <c r="D37" i="32"/>
  <c r="E37" i="32"/>
  <c r="F37" i="32"/>
  <c r="G37" i="32"/>
  <c r="B38" i="32"/>
  <c r="C38" i="32"/>
  <c r="D38" i="32"/>
  <c r="E38" i="32"/>
  <c r="F38" i="32"/>
  <c r="G38" i="32"/>
  <c r="B39" i="32"/>
  <c r="C39" i="32"/>
  <c r="D39" i="32"/>
  <c r="E39" i="32"/>
  <c r="F39" i="32"/>
  <c r="G39" i="32"/>
  <c r="B40" i="32"/>
  <c r="C40" i="32"/>
  <c r="D40" i="32"/>
  <c r="E40" i="32"/>
  <c r="F40" i="32"/>
  <c r="G40" i="32"/>
  <c r="B41" i="32"/>
  <c r="C41" i="32"/>
  <c r="D41" i="32"/>
  <c r="E41" i="32"/>
  <c r="F41" i="32"/>
  <c r="G41" i="32"/>
  <c r="B42" i="32"/>
  <c r="C42" i="32"/>
  <c r="D42" i="32"/>
  <c r="E42" i="32"/>
  <c r="F42" i="32"/>
  <c r="G42" i="32"/>
  <c r="B43" i="32"/>
  <c r="C43" i="32"/>
  <c r="D43" i="32"/>
  <c r="E43" i="32"/>
  <c r="F43" i="32"/>
  <c r="G43" i="32"/>
  <c r="B44" i="32"/>
  <c r="C44" i="32"/>
  <c r="D44" i="32"/>
  <c r="E44" i="32"/>
  <c r="F44" i="32"/>
  <c r="G44" i="32"/>
  <c r="B45" i="32"/>
  <c r="C45" i="32"/>
  <c r="D45" i="32"/>
  <c r="E45" i="32"/>
  <c r="F45" i="32"/>
  <c r="G45" i="32"/>
  <c r="B46" i="32"/>
  <c r="C46" i="32"/>
  <c r="D46" i="32"/>
  <c r="E46" i="32"/>
  <c r="F46" i="32"/>
  <c r="G46" i="32"/>
  <c r="B47" i="32"/>
  <c r="C47" i="32"/>
  <c r="D47" i="32"/>
  <c r="E47" i="32"/>
  <c r="F47" i="32"/>
  <c r="G47" i="32"/>
  <c r="B48" i="32"/>
  <c r="C48" i="32"/>
  <c r="D48" i="32"/>
  <c r="E48" i="32"/>
  <c r="F48" i="32"/>
  <c r="G48" i="32"/>
  <c r="B49" i="32"/>
  <c r="C49" i="32"/>
  <c r="D49" i="32"/>
  <c r="E49" i="32"/>
  <c r="F49" i="32"/>
  <c r="G49" i="32"/>
  <c r="C31" i="32"/>
  <c r="D31" i="32"/>
  <c r="E31" i="32"/>
  <c r="F31" i="32"/>
  <c r="G31" i="32"/>
  <c r="B31" i="32"/>
  <c r="C14" i="78" l="1"/>
  <c r="C31" i="78" s="1"/>
  <c r="C33" i="78" s="1"/>
  <c r="P45" i="94"/>
  <c r="P45" i="142"/>
  <c r="P21" i="142"/>
  <c r="L45" i="94"/>
  <c r="L45" i="142"/>
  <c r="L21" i="142"/>
  <c r="O48" i="94"/>
  <c r="O48" i="142"/>
  <c r="O24" i="142"/>
  <c r="O45" i="94"/>
  <c r="O21" i="142"/>
  <c r="O45" i="142"/>
  <c r="N48" i="94"/>
  <c r="N48" i="142"/>
  <c r="N24" i="142"/>
  <c r="N45" i="94"/>
  <c r="N45" i="142"/>
  <c r="N21" i="142"/>
  <c r="K48" i="94"/>
  <c r="K48" i="142"/>
  <c r="K24" i="142"/>
  <c r="M48" i="94"/>
  <c r="M48" i="142"/>
  <c r="M24" i="142"/>
  <c r="K45" i="94"/>
  <c r="K21" i="142"/>
  <c r="K45" i="142"/>
  <c r="M45" i="94"/>
  <c r="M45" i="142"/>
  <c r="M21" i="142"/>
  <c r="P48" i="94"/>
  <c r="P48" i="142"/>
  <c r="P24" i="142"/>
  <c r="L48" i="94"/>
  <c r="L48" i="142"/>
  <c r="L24" i="142"/>
  <c r="C25" i="31"/>
  <c r="L24" i="94"/>
  <c r="E16" i="39"/>
  <c r="E32" i="39" s="1"/>
  <c r="N21" i="94"/>
  <c r="B28" i="98"/>
  <c r="K28" i="98" s="1"/>
  <c r="K24" i="94"/>
  <c r="D25" i="31"/>
  <c r="M24" i="94"/>
  <c r="D16" i="39"/>
  <c r="D32" i="39" s="1"/>
  <c r="M21" i="94"/>
  <c r="G16" i="39"/>
  <c r="G32" i="39" s="1"/>
  <c r="P21" i="94"/>
  <c r="C16" i="39"/>
  <c r="C32" i="39" s="1"/>
  <c r="L21" i="94"/>
  <c r="F28" i="98"/>
  <c r="O28" i="98" s="1"/>
  <c r="O24" i="94"/>
  <c r="B22" i="98"/>
  <c r="K22" i="98" s="1"/>
  <c r="K21" i="94"/>
  <c r="G25" i="31"/>
  <c r="P24" i="94"/>
  <c r="F16" i="39"/>
  <c r="F17" i="39" s="1"/>
  <c r="F33" i="39" s="1"/>
  <c r="O21" i="94"/>
  <c r="E28" i="98"/>
  <c r="N28" i="98" s="1"/>
  <c r="N24" i="94"/>
  <c r="B27" i="98"/>
  <c r="K27" i="98" s="1"/>
  <c r="C27" i="98"/>
  <c r="L27" i="98" s="1"/>
  <c r="D28" i="98"/>
  <c r="M28" i="98" s="1"/>
  <c r="C52" i="32"/>
  <c r="D27" i="98"/>
  <c r="M27" i="98" s="1"/>
  <c r="D22" i="98"/>
  <c r="M22" i="98" s="1"/>
  <c r="E25" i="31"/>
  <c r="E27" i="98"/>
  <c r="N27" i="98" s="1"/>
  <c r="F25" i="31"/>
  <c r="E22" i="98"/>
  <c r="N22" i="98" s="1"/>
  <c r="G28" i="98"/>
  <c r="P28" i="98" s="1"/>
  <c r="C28" i="98"/>
  <c r="L28" i="98" s="1"/>
  <c r="G24" i="98"/>
  <c r="P24" i="98" s="1"/>
  <c r="G22" i="98"/>
  <c r="P22" i="98" s="1"/>
  <c r="C22" i="98"/>
  <c r="L22" i="98" s="1"/>
  <c r="G27" i="98"/>
  <c r="P27" i="98" s="1"/>
  <c r="B25" i="31"/>
  <c r="F27" i="98"/>
  <c r="O27" i="98" s="1"/>
  <c r="F22" i="98"/>
  <c r="O22" i="98" s="1"/>
  <c r="D14" i="106"/>
  <c r="D13" i="106"/>
  <c r="C13" i="106"/>
  <c r="D12" i="106"/>
  <c r="C12" i="106"/>
  <c r="E7" i="106"/>
  <c r="E12" i="106" s="1"/>
  <c r="D7" i="106"/>
  <c r="D15" i="106" s="1"/>
  <c r="C7" i="106"/>
  <c r="C14" i="106" s="1"/>
  <c r="K47" i="94" l="1"/>
  <c r="K46" i="94" s="1"/>
  <c r="K47" i="142"/>
  <c r="K46" i="142" s="1"/>
  <c r="K23" i="142"/>
  <c r="P47" i="94"/>
  <c r="P46" i="94" s="1"/>
  <c r="P47" i="142"/>
  <c r="P46" i="142" s="1"/>
  <c r="P23" i="142"/>
  <c r="P22" i="142" s="1"/>
  <c r="K22" i="142"/>
  <c r="E17" i="39"/>
  <c r="E33" i="39" s="1"/>
  <c r="D17" i="39"/>
  <c r="D33" i="39" s="1"/>
  <c r="F32" i="39"/>
  <c r="C17" i="39"/>
  <c r="C33" i="39" s="1"/>
  <c r="B30" i="98"/>
  <c r="K30" i="98" s="1"/>
  <c r="K23" i="94"/>
  <c r="K22" i="94" s="1"/>
  <c r="G30" i="98"/>
  <c r="P30" i="98" s="1"/>
  <c r="P23" i="94"/>
  <c r="P22" i="94" s="1"/>
  <c r="E15" i="106"/>
  <c r="E14" i="106"/>
  <c r="E13" i="106"/>
  <c r="C15" i="106"/>
  <c r="B29" i="98" l="1"/>
  <c r="K29" i="98" s="1"/>
  <c r="G22" i="94" l="1"/>
  <c r="G11" i="28"/>
  <c r="G12" i="28"/>
  <c r="D22" i="94"/>
  <c r="E22" i="94"/>
  <c r="E12" i="28"/>
  <c r="E11" i="28"/>
  <c r="B22" i="94"/>
  <c r="B11" i="28"/>
  <c r="F22" i="94"/>
  <c r="F23" i="94" s="1"/>
  <c r="F12" i="28"/>
  <c r="F11" i="28"/>
  <c r="C22" i="94"/>
  <c r="F24" i="22"/>
  <c r="E24" i="22"/>
  <c r="D24" i="22"/>
  <c r="C24" i="22"/>
  <c r="B24" i="22"/>
  <c r="E23" i="22"/>
  <c r="D23" i="22"/>
  <c r="C23" i="22"/>
  <c r="B23" i="22"/>
  <c r="D22" i="22"/>
  <c r="C22" i="22"/>
  <c r="B22" i="22"/>
  <c r="C12" i="22"/>
  <c r="D12" i="22"/>
  <c r="E12" i="22"/>
  <c r="F12" i="22"/>
  <c r="B12" i="22"/>
  <c r="C11" i="22"/>
  <c r="D11" i="22"/>
  <c r="E11" i="22"/>
  <c r="B11" i="22"/>
  <c r="C10" i="22"/>
  <c r="D10" i="22"/>
  <c r="B10" i="22"/>
  <c r="D23" i="94" l="1"/>
  <c r="C23" i="94"/>
  <c r="E23" i="94"/>
  <c r="G23" i="94"/>
  <c r="C11" i="28"/>
  <c r="C12" i="28" s="1"/>
  <c r="D11" i="28"/>
  <c r="A18" i="38"/>
  <c r="B18" i="38"/>
  <c r="C18" i="38"/>
  <c r="D18" i="38"/>
  <c r="E18" i="38"/>
  <c r="F18" i="38"/>
  <c r="G18" i="38"/>
  <c r="H18" i="38"/>
  <c r="I18" i="38"/>
  <c r="A19" i="38"/>
  <c r="B19" i="38"/>
  <c r="C19" i="38"/>
  <c r="D19" i="38"/>
  <c r="E19" i="38"/>
  <c r="F19" i="38"/>
  <c r="G19" i="38"/>
  <c r="H19" i="38"/>
  <c r="I19" i="38"/>
  <c r="A20" i="38"/>
  <c r="B20" i="38"/>
  <c r="C20" i="38"/>
  <c r="D20" i="38"/>
  <c r="E20" i="38"/>
  <c r="F20" i="38"/>
  <c r="G20" i="38"/>
  <c r="H20" i="38"/>
  <c r="I20" i="38"/>
  <c r="B17" i="38"/>
  <c r="C17" i="38"/>
  <c r="D17" i="38"/>
  <c r="E17" i="38"/>
  <c r="F17" i="38"/>
  <c r="G17" i="38"/>
  <c r="H17" i="38"/>
  <c r="I17" i="38"/>
  <c r="A17" i="38"/>
  <c r="A19" i="37"/>
  <c r="B19" i="37"/>
  <c r="C19" i="37"/>
  <c r="D19" i="37"/>
  <c r="E19" i="37"/>
  <c r="F19" i="37"/>
  <c r="H19" i="37"/>
  <c r="I19" i="37"/>
  <c r="A20" i="37"/>
  <c r="B20" i="37"/>
  <c r="C20" i="37"/>
  <c r="D20" i="37"/>
  <c r="E20" i="37"/>
  <c r="F20" i="37"/>
  <c r="H20" i="37"/>
  <c r="I20" i="37"/>
  <c r="A21" i="37"/>
  <c r="B21" i="37"/>
  <c r="C21" i="37"/>
  <c r="D21" i="37"/>
  <c r="E21" i="37"/>
  <c r="F21" i="37"/>
  <c r="H21" i="37"/>
  <c r="I21" i="37"/>
  <c r="B18" i="37"/>
  <c r="C18" i="37"/>
  <c r="D18" i="37"/>
  <c r="E18" i="37"/>
  <c r="F18" i="37"/>
  <c r="H18" i="37"/>
  <c r="I18" i="37"/>
  <c r="A18" i="37"/>
  <c r="F18" i="36"/>
  <c r="F21" i="36"/>
  <c r="E19" i="36"/>
  <c r="E18" i="36"/>
  <c r="D20" i="36"/>
  <c r="D19" i="36"/>
  <c r="C20" i="36"/>
  <c r="B18" i="36"/>
  <c r="B21" i="36"/>
  <c r="A19" i="36"/>
  <c r="B19" i="36"/>
  <c r="F19" i="36"/>
  <c r="G19" i="36"/>
  <c r="H19" i="36"/>
  <c r="I19" i="36"/>
  <c r="A20" i="36"/>
  <c r="B20" i="36"/>
  <c r="E20" i="36"/>
  <c r="F20" i="36"/>
  <c r="G20" i="36"/>
  <c r="H20" i="36"/>
  <c r="I20" i="36"/>
  <c r="A21" i="36"/>
  <c r="G21" i="36"/>
  <c r="H21" i="36"/>
  <c r="I21" i="36"/>
  <c r="G18" i="36"/>
  <c r="H18" i="36"/>
  <c r="I18" i="36"/>
  <c r="A18" i="36"/>
  <c r="D12" i="28" l="1"/>
  <c r="C21" i="36"/>
  <c r="C18" i="36"/>
  <c r="D21" i="36"/>
  <c r="C19" i="36"/>
  <c r="D18" i="36"/>
  <c r="E21" i="36"/>
  <c r="M6" i="84"/>
  <c r="N6" i="84"/>
  <c r="O6" i="84"/>
  <c r="P6" i="84"/>
  <c r="K6" i="84" l="1"/>
  <c r="L6" i="84"/>
  <c r="J6" i="84"/>
  <c r="R33" i="7" l="1"/>
  <c r="Q33" i="7"/>
  <c r="P33" i="7"/>
  <c r="O33" i="7"/>
  <c r="N33" i="7"/>
  <c r="M33" i="7"/>
  <c r="L33" i="7"/>
  <c r="K33" i="7"/>
  <c r="L15" i="7" l="1"/>
  <c r="M15" i="7"/>
  <c r="N15" i="7"/>
  <c r="O15" i="7"/>
  <c r="P15" i="7"/>
  <c r="Q15" i="7"/>
  <c r="R15" i="7"/>
  <c r="K15" i="7"/>
  <c r="C26" i="20" l="1"/>
  <c r="C27" i="20" s="1"/>
  <c r="C28" i="20" l="1"/>
  <c r="D28" i="20"/>
  <c r="E28" i="20" s="1"/>
  <c r="F26" i="20"/>
  <c r="D27" i="20"/>
  <c r="E27" i="20" s="1"/>
  <c r="F28" i="20" l="1"/>
  <c r="C29" i="20"/>
  <c r="D29" i="20"/>
  <c r="E29" i="20" s="1"/>
  <c r="F29" i="20"/>
  <c r="F27" i="20"/>
  <c r="C30" i="20" l="1"/>
  <c r="D30" i="20"/>
  <c r="E30" i="20" s="1"/>
  <c r="G25" i="18"/>
  <c r="D25" i="18"/>
  <c r="E26" i="18" l="1"/>
  <c r="F26" i="18" s="1"/>
  <c r="F30" i="20"/>
  <c r="C31" i="20"/>
  <c r="D31" i="20"/>
  <c r="E31" i="20" s="1"/>
  <c r="F31" i="20"/>
  <c r="D26" i="18"/>
  <c r="C32" i="20" l="1"/>
  <c r="D32" i="20"/>
  <c r="E32" i="20" s="1"/>
  <c r="G26" i="18"/>
  <c r="F32" i="20" l="1"/>
  <c r="C33" i="20"/>
  <c r="D33" i="20"/>
  <c r="E33" i="20" s="1"/>
  <c r="F33" i="20"/>
  <c r="C34" i="20" l="1"/>
  <c r="D34" i="20"/>
  <c r="E34" i="20" s="1"/>
  <c r="F34" i="20" l="1"/>
  <c r="C35" i="20"/>
  <c r="D35" i="20"/>
  <c r="E35" i="20" s="1"/>
  <c r="F35" i="20"/>
  <c r="C36" i="20" l="1"/>
  <c r="D36" i="20"/>
  <c r="E36" i="20" s="1"/>
  <c r="F36" i="20" l="1"/>
  <c r="C37" i="20"/>
  <c r="D37" i="20"/>
  <c r="E37" i="20" s="1"/>
  <c r="F37" i="20"/>
  <c r="C38" i="20" l="1"/>
  <c r="D38" i="20"/>
  <c r="E38" i="20" s="1"/>
  <c r="F38" i="20" l="1"/>
  <c r="C39" i="20"/>
  <c r="D39" i="20"/>
  <c r="E39" i="20" s="1"/>
  <c r="F39" i="20"/>
  <c r="G23" i="31"/>
  <c r="F23" i="31"/>
  <c r="E23" i="31"/>
  <c r="D23" i="31"/>
  <c r="C23" i="31"/>
  <c r="B23" i="31"/>
  <c r="G22" i="31"/>
  <c r="F22" i="31"/>
  <c r="E22" i="31"/>
  <c r="D22" i="31"/>
  <c r="C22" i="31"/>
  <c r="B22" i="31"/>
  <c r="G21" i="31"/>
  <c r="F21" i="31"/>
  <c r="E21" i="31"/>
  <c r="D21" i="31"/>
  <c r="C21" i="31"/>
  <c r="B21" i="31"/>
  <c r="F20" i="31"/>
  <c r="G20" i="31"/>
  <c r="E20" i="31"/>
  <c r="D20" i="31"/>
  <c r="C20" i="31"/>
  <c r="B20" i="31"/>
  <c r="C40" i="20" l="1"/>
  <c r="D40" i="20"/>
  <c r="E40" i="20" s="1"/>
  <c r="B19" i="31"/>
  <c r="F19" i="31"/>
  <c r="G19" i="31"/>
  <c r="D19" i="31"/>
  <c r="C19" i="31"/>
  <c r="E19" i="31"/>
  <c r="E27" i="31"/>
  <c r="B27" i="31"/>
  <c r="F27" i="31"/>
  <c r="C24" i="31"/>
  <c r="C27" i="31"/>
  <c r="G27" i="31"/>
  <c r="D27" i="31"/>
  <c r="G26" i="31" l="1"/>
  <c r="B26" i="31"/>
  <c r="D24" i="31"/>
  <c r="C26" i="31"/>
  <c r="F40" i="20"/>
  <c r="F41" i="20"/>
  <c r="E24" i="31"/>
  <c r="D26" i="31"/>
  <c r="G24" i="31"/>
  <c r="F26" i="31"/>
  <c r="F24" i="31"/>
  <c r="E26" i="31"/>
  <c r="D16" i="78" l="1"/>
  <c r="G16" i="78" l="1"/>
  <c r="F16" i="78"/>
  <c r="E16" i="78"/>
  <c r="G8" i="78" l="1"/>
  <c r="E8" i="78"/>
  <c r="D8" i="78" l="1"/>
  <c r="F8" i="78"/>
  <c r="C16" i="78" l="1"/>
  <c r="B16" i="78"/>
  <c r="C22" i="30" l="1"/>
  <c r="E20" i="30" l="1"/>
  <c r="D22" i="30" l="1"/>
  <c r="E22" i="30"/>
  <c r="E23" i="30" l="1"/>
  <c r="D23" i="30"/>
  <c r="D24" i="30" l="1"/>
  <c r="E24" i="30"/>
  <c r="H20" i="30" l="1"/>
  <c r="H22" i="30" l="1"/>
  <c r="G20" i="30"/>
  <c r="G22" i="30" l="1"/>
  <c r="H23" i="30"/>
  <c r="G23" i="30" l="1"/>
  <c r="H24" i="30" l="1"/>
  <c r="F20" i="30"/>
  <c r="F22" i="30" l="1"/>
  <c r="I20" i="30" l="1"/>
  <c r="F23" i="30"/>
  <c r="L47" i="94" l="1"/>
  <c r="L46" i="94" s="1"/>
  <c r="L47" i="142"/>
  <c r="L46" i="142" s="1"/>
  <c r="L23" i="142"/>
  <c r="L22" i="142" s="1"/>
  <c r="G24" i="30"/>
  <c r="F24" i="30"/>
  <c r="I22" i="30"/>
  <c r="C30" i="98"/>
  <c r="L30" i="98" s="1"/>
  <c r="L23" i="94"/>
  <c r="L22" i="94" s="1"/>
  <c r="I23" i="30" l="1"/>
  <c r="C29" i="98"/>
  <c r="L29" i="98" s="1"/>
  <c r="O47" i="94" l="1"/>
  <c r="O46" i="94" s="1"/>
  <c r="O47" i="142"/>
  <c r="O46" i="142" s="1"/>
  <c r="O23" i="142"/>
  <c r="O22" i="142" s="1"/>
  <c r="N47" i="94"/>
  <c r="N46" i="94" s="1"/>
  <c r="N47" i="142"/>
  <c r="N46" i="142" s="1"/>
  <c r="N23" i="142"/>
  <c r="N22" i="142" s="1"/>
  <c r="I24" i="30"/>
  <c r="E30" i="98"/>
  <c r="N30" i="98" s="1"/>
  <c r="N23" i="94"/>
  <c r="N22" i="94" s="1"/>
  <c r="F30" i="98"/>
  <c r="O30" i="98" s="1"/>
  <c r="O23" i="94"/>
  <c r="O22" i="94" s="1"/>
  <c r="M47" i="94" l="1"/>
  <c r="M46" i="94" s="1"/>
  <c r="M47" i="142"/>
  <c r="M46" i="142" s="1"/>
  <c r="M23" i="142"/>
  <c r="M22" i="142" s="1"/>
  <c r="D30" i="98"/>
  <c r="M30" i="98" s="1"/>
  <c r="M23" i="94"/>
  <c r="M22" i="94" s="1"/>
  <c r="D29" i="98" l="1"/>
  <c r="M29" i="98" s="1"/>
  <c r="E29" i="98" l="1"/>
  <c r="N29" i="98" s="1"/>
  <c r="G29" i="98" l="1"/>
  <c r="P29" i="98" s="1"/>
  <c r="F29" i="98"/>
  <c r="O29" i="98" s="1"/>
</calcChain>
</file>

<file path=xl/comments1.xml><?xml version="1.0" encoding="utf-8"?>
<comments xmlns="http://schemas.openxmlformats.org/spreadsheetml/2006/main">
  <authors>
    <author>Autor</author>
  </authors>
  <commentList>
    <comment ref="K13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as of 3.4.2017</t>
        </r>
      </text>
    </comment>
  </commentList>
</comments>
</file>

<file path=xl/sharedStrings.xml><?xml version="1.0" encoding="utf-8"?>
<sst xmlns="http://schemas.openxmlformats.org/spreadsheetml/2006/main" count="2912" uniqueCount="1814">
  <si>
    <t>1. Saldo verejnej správy</t>
  </si>
  <si>
    <t>2. Cyklická zložka</t>
  </si>
  <si>
    <t>3. Jednorazové efekty</t>
  </si>
  <si>
    <t>4. Štrukturálne saldo (1-2-3)</t>
  </si>
  <si>
    <t>5. Konsolidačné úsilie podľa EK</t>
  </si>
  <si>
    <t>MFSR</t>
  </si>
  <si>
    <t>EK</t>
  </si>
  <si>
    <t>Ekonomický rast</t>
  </si>
  <si>
    <t>EÚ</t>
  </si>
  <si>
    <t>Eurozóna</t>
  </si>
  <si>
    <t>Nemecko</t>
  </si>
  <si>
    <t>Česká republika</t>
  </si>
  <si>
    <t>Poľsko</t>
  </si>
  <si>
    <t>Maďarsko</t>
  </si>
  <si>
    <t xml:space="preserve">Dlhodobé úrokové miery (10r.) </t>
  </si>
  <si>
    <t xml:space="preserve">          Nemecko </t>
  </si>
  <si>
    <t>-</t>
  </si>
  <si>
    <t>Základná sadzba ECB</t>
  </si>
  <si>
    <t>Kurz (USD/EUR)</t>
  </si>
  <si>
    <t>Cena ropy (Brent, USD/barel)</t>
  </si>
  <si>
    <t>p.m. Ekonomický rast Slovenska</t>
  </si>
  <si>
    <t>Zdroj: MF SR</t>
  </si>
  <si>
    <t>P.č.</t>
  </si>
  <si>
    <t>Ukazovateľ</t>
  </si>
  <si>
    <t>Skutočnosť</t>
  </si>
  <si>
    <t>Prognóza</t>
  </si>
  <si>
    <t>m.j.</t>
  </si>
  <si>
    <t>HDP, bežné ceny</t>
  </si>
  <si>
    <t>mld. eur</t>
  </si>
  <si>
    <t>HDP, stále ceny</t>
  </si>
  <si>
    <t>%</t>
  </si>
  <si>
    <t xml:space="preserve">     Konečná spotreba domácností a NISD[1]</t>
  </si>
  <si>
    <t xml:space="preserve">     Konečná spotreba verejnej správy </t>
  </si>
  <si>
    <t xml:space="preserve">     Tvorba hrubého fixného kapitálu </t>
  </si>
  <si>
    <t xml:space="preserve">     Export tovarov a služieb </t>
  </si>
  <si>
    <t xml:space="preserve">     Import tovarov a služieb </t>
  </si>
  <si>
    <t>Produkčná medzera (podiel na potenciálnom produkte)</t>
  </si>
  <si>
    <t>Priem. mesačná mzda za hospodárstvo (nominálny rast)</t>
  </si>
  <si>
    <t>Priemerný rast zamestnanosti, podľa VZPS</t>
  </si>
  <si>
    <t>Priemerný rast zamestnanosti, podľa ESA95</t>
  </si>
  <si>
    <t>Priemerná miera nezamestnanosti, podľa VZPS</t>
  </si>
  <si>
    <t>Priemerná evidovaná miera nezamestnanosti</t>
  </si>
  <si>
    <t>Harmonizovaný index spotrebiteľských cien (HICP)</t>
  </si>
  <si>
    <t>Reálny rast HDP (%)</t>
  </si>
  <si>
    <t>Makrovýbor (medián)</t>
  </si>
  <si>
    <t>NBS</t>
  </si>
  <si>
    <t>OECD</t>
  </si>
  <si>
    <t>MMF</t>
  </si>
  <si>
    <t>HICP  (%)</t>
  </si>
  <si>
    <t>Bežný účet (% HDP)</t>
  </si>
  <si>
    <t>Zdroj: MF SR (február 2015), Výbor pre makroekonomické prognózy (január 2015), NBS (január 2015), EK (február 2015), OECD (november 2014) a MMF (apríl 2015)</t>
  </si>
  <si>
    <t>mil. eur</t>
  </si>
  <si>
    <t>% HDP</t>
  </si>
  <si>
    <t>v % HDP</t>
  </si>
  <si>
    <t>Spolu</t>
  </si>
  <si>
    <t>OS</t>
  </si>
  <si>
    <t>NPC scenár</t>
  </si>
  <si>
    <t>2. Výdavky spolu</t>
  </si>
  <si>
    <t xml:space="preserve">  Bežné výdavky</t>
  </si>
  <si>
    <t xml:space="preserve">    Kompenzácie zamestnancov</t>
  </si>
  <si>
    <t xml:space="preserve">    Medzispotreba</t>
  </si>
  <si>
    <t xml:space="preserve">    Subvencie</t>
  </si>
  <si>
    <t xml:space="preserve">    Úrokové náklady</t>
  </si>
  <si>
    <t xml:space="preserve">    Celkové sociálne transfery</t>
  </si>
  <si>
    <t xml:space="preserve">     - Naturálne sociálne transfery</t>
  </si>
  <si>
    <t xml:space="preserve">    Ostatné bežné transfery</t>
  </si>
  <si>
    <t xml:space="preserve"> Kapitálové výdavky</t>
  </si>
  <si>
    <t xml:space="preserve">    Kapitálové investície</t>
  </si>
  <si>
    <t xml:space="preserve">      - Tvorba hrubého fixného kapitálu</t>
  </si>
  <si>
    <t xml:space="preserve">    Kapitálové transfery</t>
  </si>
  <si>
    <t>3. Čisté pôžičky poskytnuté / prijaté</t>
  </si>
  <si>
    <t xml:space="preserve"> - medziročná zmena</t>
  </si>
  <si>
    <t>1.   Celkové výdavky</t>
  </si>
  <si>
    <t>2.   Úrokové náklady</t>
  </si>
  <si>
    <t>6.   Cyklické výdavky na dávky v nezamestnanosti</t>
  </si>
  <si>
    <t xml:space="preserve">7.   Výdavky plne kryté automatickým zvýšením príjmov </t>
  </si>
  <si>
    <t>10. Zmena v príjmoch z titulu diskrečných príjmových opatrení</t>
  </si>
  <si>
    <t xml:space="preserve">12. Reálny rast agregátu výdavkov očisteného o príjmové opatrenia </t>
  </si>
  <si>
    <t>13. Výdavkové pravidlo (znížená referenčná miera pot. rastu HDP)</t>
  </si>
  <si>
    <t>p.b.</t>
  </si>
  <si>
    <t>15. Odchýlka od výdavkového pravidla</t>
  </si>
  <si>
    <t>16. Dvojročná odchýlka od výdavkového pravidla</t>
  </si>
  <si>
    <t>Hrubý dlh verejnej správy</t>
  </si>
  <si>
    <t xml:space="preserve">  - štátny dlh (bez vplyvu medzinár. záväzkov)</t>
  </si>
  <si>
    <t xml:space="preserve">  - podiel SR na dlhu EFSF</t>
  </si>
  <si>
    <t xml:space="preserve">  - vklad do ESM</t>
  </si>
  <si>
    <t xml:space="preserve">  - dlh ostatných zložiek verejnej správy</t>
  </si>
  <si>
    <t>p.m. zmena hrubého dlhu</t>
  </si>
  <si>
    <t>p.m. čistý dlh</t>
  </si>
  <si>
    <t>A. Hrubý dlh verejnej správy (k 1.1.)</t>
  </si>
  <si>
    <t>B. Celková medziročná zmena hrubého dlhu VS</t>
  </si>
  <si>
    <t xml:space="preserve"> - deficit ŠR na hotovostnom princípe</t>
  </si>
  <si>
    <t xml:space="preserve"> - prostriedky ŠP využité pre financovanie potrieb štátu</t>
  </si>
  <si>
    <t xml:space="preserve"> - podiel SR na dlhu EFSF</t>
  </si>
  <si>
    <t xml:space="preserve"> - vklady Slovenska do ESM</t>
  </si>
  <si>
    <t xml:space="preserve"> - emisný diskont</t>
  </si>
  <si>
    <t xml:space="preserve"> - diskont pri splatnosti</t>
  </si>
  <si>
    <t xml:space="preserve"> - zadlženie ostatných subjektov VS</t>
  </si>
  <si>
    <t>z toho: ŽSR</t>
  </si>
  <si>
    <t>z toho: NDS</t>
  </si>
  <si>
    <t>z toho: EOSA</t>
  </si>
  <si>
    <t>z toho: Dopravné podniky obcí</t>
  </si>
  <si>
    <t xml:space="preserve"> - ostatné</t>
  </si>
  <si>
    <t>C. Hrubý dlh verejnej správy (k 31.12.) (A+B)</t>
  </si>
  <si>
    <t>Pozn.: Plusové položky zvyšujú dlh verejnej správy k 31.12. príslušného roku, mínusové položky dlh znižujú.</t>
  </si>
  <si>
    <t>Kumulatívna zmena hodnoty jednotlivých premenných oproti základnému scenáru je v p. b.</t>
  </si>
  <si>
    <t>Spotreba domácností</t>
  </si>
  <si>
    <t>Hrubé fixné investície</t>
  </si>
  <si>
    <t>HDP</t>
  </si>
  <si>
    <t>Miera nezamestnanosti</t>
  </si>
  <si>
    <t>CPI</t>
  </si>
  <si>
    <t>(% HDP)</t>
  </si>
  <si>
    <t xml:space="preserve">ESA kód </t>
  </si>
  <si>
    <t>Predchádzajúca aktualizácia*</t>
  </si>
  <si>
    <t>Skutočnosť a súčasná aktualizácia</t>
  </si>
  <si>
    <t>Rozdiel</t>
  </si>
  <si>
    <t>Saldo verejnej správy (% HDP)</t>
  </si>
  <si>
    <t>EDP B.9</t>
  </si>
  <si>
    <t>Hrubý dlh verejnej správy (% HDP)</t>
  </si>
  <si>
    <r>
      <t>DLH (t</t>
    </r>
    <r>
      <rPr>
        <b/>
        <vertAlign val="subscript"/>
        <sz val="9"/>
        <color rgb="FF000000"/>
        <rFont val="Arial Narrow"/>
        <family val="2"/>
        <charset val="238"/>
      </rPr>
      <t>0</t>
    </r>
    <r>
      <rPr>
        <b/>
        <sz val="9"/>
        <color rgb="FF000000"/>
        <rFont val="Arial Narrow"/>
        <family val="2"/>
        <charset val="238"/>
      </rPr>
      <t>)</t>
    </r>
  </si>
  <si>
    <r>
      <t>DLH (t</t>
    </r>
    <r>
      <rPr>
        <b/>
        <vertAlign val="subscript"/>
        <sz val="9"/>
        <color rgb="FF000000"/>
        <rFont val="Arial Narrow"/>
        <family val="2"/>
        <charset val="238"/>
      </rPr>
      <t>1</t>
    </r>
    <r>
      <rPr>
        <b/>
        <sz val="9"/>
        <color rgb="FF000000"/>
        <rFont val="Arial Narrow"/>
        <family val="2"/>
        <charset val="238"/>
      </rPr>
      <t>)</t>
    </r>
  </si>
  <si>
    <t>Scenár MTO</t>
  </si>
  <si>
    <t>Opatrenie</t>
  </si>
  <si>
    <t xml:space="preserve">ESA2010 </t>
  </si>
  <si>
    <t>mil. eur</t>
  </si>
  <si>
    <t>% HDP</t>
  </si>
  <si>
    <t>P.2</t>
  </si>
  <si>
    <t>Investície</t>
  </si>
  <si>
    <t xml:space="preserve"> - nižší odvod do EÚ rozpočtu</t>
  </si>
  <si>
    <t>celkový vplyv</t>
  </si>
  <si>
    <t>dodatočný vplyv</t>
  </si>
  <si>
    <t>Popis</t>
  </si>
  <si>
    <t>Zmeny v daňovom odpisovaní majetku</t>
  </si>
  <si>
    <t>Zavedenie pravidiel nízkej kapitalizácie</t>
  </si>
  <si>
    <t>Odpočet výdavkov na vedu a výskum od základu dane</t>
  </si>
  <si>
    <t>Audit daňových výdavkov a iné</t>
  </si>
  <si>
    <t>Otvorenie II. piliera - bežný vplyv</t>
  </si>
  <si>
    <t>SPOLU</t>
  </si>
  <si>
    <t>ZHRNUTIE</t>
  </si>
  <si>
    <t>KAPITOLA 1</t>
  </si>
  <si>
    <t>KAPITOLA 2</t>
  </si>
  <si>
    <t>KAPITOLA 3</t>
  </si>
  <si>
    <t>KAPITOLA 4</t>
  </si>
  <si>
    <t>KAPITOLA 5</t>
  </si>
  <si>
    <t>Zníženie sadzby bankového odvodu od 2015</t>
  </si>
  <si>
    <t>Zmeny v zaťažení odvodov</t>
  </si>
  <si>
    <t>EFSF + ESM</t>
  </si>
  <si>
    <t>Hrubý dlh (očistený o ESM a EFSF)</t>
  </si>
  <si>
    <t>Saldo verejnej správy</t>
  </si>
  <si>
    <t>Štrukturálne saldo</t>
  </si>
  <si>
    <t>Konsolidačné úsilie podľa EK</t>
  </si>
  <si>
    <t>Čistý dlh</t>
  </si>
  <si>
    <t>Zmena hrubého dlhu verejnej správy</t>
  </si>
  <si>
    <t>Príspevky k zmene hrubého dlhu verejnej správy:</t>
  </si>
  <si>
    <t>Primárne saldo</t>
  </si>
  <si>
    <t>Snehová guľa</t>
  </si>
  <si>
    <t>Úroky</t>
  </si>
  <si>
    <t>Rast nominálneho HDP</t>
  </si>
  <si>
    <t>Zosúladenie deficitu a dlhu</t>
  </si>
  <si>
    <t xml:space="preserve"> - príjmy z predaja telekomunikačných licencií (digitálna dividenda)</t>
  </si>
  <si>
    <t xml:space="preserve"> - pokuta protimonopolného úradu za stavebný kartel </t>
  </si>
  <si>
    <t>-  jednorazové vyplatenie starobných dôchodkov silovým zložkám</t>
  </si>
  <si>
    <t>Saldo VS</t>
  </si>
  <si>
    <t xml:space="preserve">Jednorazové vplyvy  (ESA2010, mil. eur) </t>
  </si>
  <si>
    <t xml:space="preserve">Jednorazové vplyvy  (ESA2010, % HDP) </t>
  </si>
  <si>
    <t>Nominálne HDP</t>
  </si>
  <si>
    <t>p. m. deflátor HDP</t>
  </si>
  <si>
    <t>14. Odchýlka od výdavkového pravidla (13-12)</t>
  </si>
  <si>
    <t>Likvidné aktíva</t>
  </si>
  <si>
    <t>z toho: ŽSSK</t>
  </si>
  <si>
    <t>Slovensko</t>
  </si>
  <si>
    <t>BCOM Index</t>
  </si>
  <si>
    <t>S&amp;P 500</t>
  </si>
  <si>
    <t>Eurostoxx 50</t>
  </si>
  <si>
    <t xml:space="preserve">DAX </t>
  </si>
  <si>
    <t>Shanghai Composite</t>
  </si>
  <si>
    <t>Španielsko</t>
  </si>
  <si>
    <t>Česká Republika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</si>
  <si>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</si>
  <si>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</si>
  <si>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</si>
  <si>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</si>
  <si>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</si>
  <si>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</si>
  <si>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</si>
  <si>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</si>
  <si>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</si>
  <si>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</si>
  <si>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</si>
  <si>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</si>
  <si>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</si>
  <si>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</si>
  <si>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</si>
  <si>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</si>
  <si>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</si>
  <si>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</si>
  <si>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</si>
  <si>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</si>
  <si>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</si>
  <si>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</si>
  <si>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</si>
  <si>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</si>
  <si>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</si>
  <si>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</si>
  <si>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</si>
  <si>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</si>
  <si>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</si>
  <si>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</si>
  <si>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</si>
  <si>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</si>
  <si>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Spotreba</t>
  </si>
  <si>
    <t>Zásoby a diskrepancia</t>
  </si>
  <si>
    <t>Čistý export</t>
  </si>
  <si>
    <t>Zamestnanosť v súkromnom sektore</t>
  </si>
  <si>
    <t>Hrubý domáci produkt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</si>
  <si>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</si>
  <si>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</si>
  <si>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</si>
  <si>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</si>
  <si>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</si>
  <si>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</si>
  <si>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</si>
  <si>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</si>
  <si>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Poľnohospodárstvo</t>
  </si>
  <si>
    <t>Priemysel</t>
  </si>
  <si>
    <t>Trhové služby</t>
  </si>
  <si>
    <t>Verejný sektor</t>
  </si>
  <si>
    <t>Stavebníctvo</t>
  </si>
  <si>
    <t>Hospodárstvo spolu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</si>
  <si>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</si>
  <si>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</si>
  <si>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</si>
  <si>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</si>
  <si>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</si>
  <si>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</si>
  <si>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</si>
  <si>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</si>
  <si>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</si>
  <si>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</si>
  <si>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</si>
  <si>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</si>
  <si>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</si>
  <si>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</si>
  <si>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</si>
  <si>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</si>
  <si>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</si>
  <si>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</si>
  <si>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</si>
  <si>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</si>
  <si>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</si>
  <si>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</si>
  <si>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</si>
  <si>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</si>
  <si>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Bežný účet</t>
  </si>
  <si>
    <t>Tovary</t>
  </si>
  <si>
    <t>Služby</t>
  </si>
  <si>
    <t>Celková inflácia</t>
  </si>
  <si>
    <t>Čistá inflácia</t>
  </si>
  <si>
    <t>Ceny potravín</t>
  </si>
  <si>
    <t>Regulované ceny</t>
  </si>
  <si>
    <t>Bilancia bežného účtu (podiel na HDP)</t>
  </si>
  <si>
    <t>Tržby (mil. eur)</t>
  </si>
  <si>
    <t xml:space="preserve">Počet vyrobených automobilov </t>
  </si>
  <si>
    <t>Model 1</t>
  </si>
  <si>
    <t>Model 2</t>
  </si>
  <si>
    <t>Počet pracovných miest u dodávateľov</t>
  </si>
  <si>
    <t xml:space="preserve">Dovozná náročnosť vývozu </t>
  </si>
  <si>
    <t>2016F</t>
  </si>
  <si>
    <t>2017F</t>
  </si>
  <si>
    <t>2018F</t>
  </si>
  <si>
    <t>2019F</t>
  </si>
  <si>
    <t>BÚ PB</t>
  </si>
  <si>
    <t>Pot. HDP (rast, %)</t>
  </si>
  <si>
    <t>Zásoba kapitálu</t>
  </si>
  <si>
    <t>Práca</t>
  </si>
  <si>
    <t>* celková produktivita výrobných faktorov</t>
  </si>
  <si>
    <t>Zdroj: MF SR</t>
  </si>
  <si>
    <t>zamestnanosť</t>
  </si>
  <si>
    <t>zásoba kapitálu</t>
  </si>
  <si>
    <t>TFP</t>
  </si>
  <si>
    <t>pot. produkt</t>
  </si>
  <si>
    <t>Prod. Medzera</t>
  </si>
  <si>
    <t>(reál. rast, %)</t>
  </si>
  <si>
    <t>(% pot. HDP)</t>
  </si>
  <si>
    <t xml:space="preserve">Zdroj: MF SR                                                                                                       </t>
  </si>
  <si>
    <t>produkčná medzera</t>
  </si>
  <si>
    <r>
      <t>TFP</t>
    </r>
    <r>
      <rPr>
        <b/>
        <vertAlign val="superscript"/>
        <sz val="9"/>
        <color rgb="FF000000"/>
        <rFont val="Arial Narrow"/>
        <family val="2"/>
        <charset val="238"/>
      </rPr>
      <t>*</t>
    </r>
  </si>
  <si>
    <t>S1 Indikátor</t>
  </si>
  <si>
    <t>S2 Indikátor</t>
  </si>
  <si>
    <t>p.m. konvergenčná doložka (convergence margin)</t>
  </si>
  <si>
    <t>z toho: VÚC</t>
  </si>
  <si>
    <t>z toho: Obce</t>
  </si>
  <si>
    <t>Spolu príjmy (1+2+3)</t>
  </si>
  <si>
    <t>Spolu (objem konsolidácie/stimulu oproti NPC)</t>
  </si>
  <si>
    <t xml:space="preserve"> </t>
  </si>
  <si>
    <t>1. Saldo verejnej správy - Fiškálne ciele</t>
  </si>
  <si>
    <t>p.m. požadovaná konsolidácia podľa EK</t>
  </si>
  <si>
    <r>
      <t xml:space="preserve">Bilancia BÚ          </t>
    </r>
    <r>
      <rPr>
        <sz val="9"/>
        <color rgb="FF000000"/>
        <rFont val="Arial Narrow"/>
        <family val="2"/>
        <charset val="238"/>
      </rPr>
      <t>(% HDP)</t>
    </r>
  </si>
  <si>
    <t>Dlh VS</t>
  </si>
  <si>
    <t xml:space="preserve">BÚ - bežný účet </t>
  </si>
  <si>
    <t>BÚ - bežný účet</t>
  </si>
  <si>
    <r>
      <t>Východiskový rok (t</t>
    </r>
    <r>
      <rPr>
        <b/>
        <vertAlign val="subscript"/>
        <sz val="9"/>
        <color rgb="FF000000"/>
        <rFont val="Arial Narrow"/>
        <family val="2"/>
        <charset val="238"/>
      </rPr>
      <t>0</t>
    </r>
    <r>
      <rPr>
        <b/>
        <sz val="9"/>
        <color rgb="FF000000"/>
        <rFont val="Arial Narrow"/>
        <family val="2"/>
        <charset val="238"/>
      </rPr>
      <t>)</t>
    </r>
  </si>
  <si>
    <t>Štrukturálne primárne saldo</t>
  </si>
  <si>
    <t>Postupná konsolidácia</t>
  </si>
  <si>
    <r>
      <t>Koncový rok (t</t>
    </r>
    <r>
      <rPr>
        <b/>
        <vertAlign val="subscript"/>
        <sz val="9"/>
        <color rgb="FF000000"/>
        <rFont val="Arial Narrow"/>
        <family val="2"/>
        <charset val="238"/>
      </rPr>
      <t>1</t>
    </r>
    <r>
      <rPr>
        <b/>
        <sz val="9"/>
        <color rgb="FF000000"/>
        <rFont val="Arial Narrow"/>
        <family val="2"/>
        <charset val="238"/>
      </rPr>
      <t>)</t>
    </r>
  </si>
  <si>
    <t>Scenár MTO (2019)</t>
  </si>
  <si>
    <t>z toho:</t>
  </si>
  <si>
    <t xml:space="preserve">  Počiatočná rozpočtová pozícia</t>
  </si>
  <si>
    <t xml:space="preserve">  Náklady odkladu konsolidácie</t>
  </si>
  <si>
    <t xml:space="preserve">  Požadovaná úroveň dlhu v koncovom roku</t>
  </si>
  <si>
    <t xml:space="preserve">  Dlhodobé výdavky (náklady starnutia)</t>
  </si>
  <si>
    <t xml:space="preserve">  Výpadok príjmov kvôli druhému pilieru</t>
  </si>
  <si>
    <t xml:space="preserve">  Výdavky na penzie</t>
  </si>
  <si>
    <t xml:space="preserve">  Zdravotná a dlhodobá starostlivosť</t>
  </si>
  <si>
    <t xml:space="preserve">  Výdavky na vzdelanie a dávky v nezamestnanosti</t>
  </si>
  <si>
    <t>4.   Kapitálové výdavky kryté národnými zdrojmi</t>
  </si>
  <si>
    <t>5.   Vyhladené kapitálové výdavky (nár. zdroje 4-ročný pohyblivý priemer)</t>
  </si>
  <si>
    <t>Investícia (mil. eur)</t>
  </si>
  <si>
    <t>Rast HDP</t>
  </si>
  <si>
    <t>Bez JLR</t>
  </si>
  <si>
    <t>Bez JLR a VW</t>
  </si>
  <si>
    <t>Export</t>
  </si>
  <si>
    <t>Zamestnanosť</t>
  </si>
  <si>
    <t>JLR</t>
  </si>
  <si>
    <t>VW</t>
  </si>
  <si>
    <t>Zmeny</t>
  </si>
  <si>
    <t>Medzisúčet</t>
  </si>
  <si>
    <t>Prechod osi x</t>
  </si>
  <si>
    <t>Výplň</t>
  </si>
  <si>
    <t>Zmena</t>
  </si>
  <si>
    <t>Kompenzácie zamestnancov</t>
  </si>
  <si>
    <t>Saldo VS - rozpočet</t>
  </si>
  <si>
    <t>Saldo VS - skutočnosť</t>
  </si>
  <si>
    <t>Inflácia v eurozóne</t>
  </si>
  <si>
    <t>Inflačný cieľ ECB</t>
  </si>
  <si>
    <t>Vplyv fiškálnej politiky na HDP</t>
  </si>
  <si>
    <t>Pokryte mesiace</t>
  </si>
  <si>
    <t>Cumulative change of variables compared to the baseline scenario in p.p</t>
  </si>
  <si>
    <t>Household consumption</t>
  </si>
  <si>
    <t>Gross fixed
investment</t>
  </si>
  <si>
    <t>GDP</t>
  </si>
  <si>
    <t>Unemployment rate</t>
  </si>
  <si>
    <r>
      <t xml:space="preserve">Current account
balance </t>
    </r>
    <r>
      <rPr>
        <sz val="9"/>
        <color rgb="FF000000"/>
        <rFont val="Arial Narrow"/>
        <family val="2"/>
        <charset val="238"/>
      </rPr>
      <t>(%GDP)</t>
    </r>
  </si>
  <si>
    <r>
      <t xml:space="preserve">General government
balance </t>
    </r>
    <r>
      <rPr>
        <sz val="9"/>
        <color rgb="FF000000"/>
        <rFont val="Arial Narrow"/>
        <family val="2"/>
        <charset val="238"/>
      </rPr>
      <t>(%GDP)</t>
    </r>
  </si>
  <si>
    <r>
      <t xml:space="preserve">General government
debt </t>
    </r>
    <r>
      <rPr>
        <sz val="9"/>
        <color rgb="FF000000"/>
        <rFont val="Arial Narrow"/>
        <family val="2"/>
        <charset val="238"/>
      </rPr>
      <t>(%GDP)</t>
    </r>
  </si>
  <si>
    <t>Source: MoF SR</t>
  </si>
  <si>
    <t>Real GDP growth (%)</t>
  </si>
  <si>
    <t>Previous update*</t>
  </si>
  <si>
    <t>Outcome and current update</t>
  </si>
  <si>
    <t>Difference</t>
  </si>
  <si>
    <t>General government gross debt (% of GDP)</t>
  </si>
  <si>
    <t>General government balance (% of GDP)</t>
  </si>
  <si>
    <t>Economic growth</t>
  </si>
  <si>
    <t>EU</t>
  </si>
  <si>
    <t>Eurozone</t>
  </si>
  <si>
    <t>Germany</t>
  </si>
  <si>
    <t>Czech Rep.</t>
  </si>
  <si>
    <t>Poland</t>
  </si>
  <si>
    <t>Hungary</t>
  </si>
  <si>
    <t xml:space="preserve">Long-term interest rates (10y) </t>
  </si>
  <si>
    <t xml:space="preserve">          Germany</t>
  </si>
  <si>
    <t>ECB main deposit rate</t>
  </si>
  <si>
    <t>Exchange rate (USD/EUR)</t>
  </si>
  <si>
    <t>Oil price (Brent, USD/bl)</t>
  </si>
  <si>
    <t>Oil price (Brent, EUR/bl)</t>
  </si>
  <si>
    <t>Cena ropy (Brent, EUR/barel)</t>
  </si>
  <si>
    <t>p.m. Economic growth of Slovakia</t>
  </si>
  <si>
    <t>Slovakia</t>
  </si>
  <si>
    <t>Spain</t>
  </si>
  <si>
    <t>Eurozone inflation</t>
  </si>
  <si>
    <t>ECB inflation target</t>
  </si>
  <si>
    <t>Consumption</t>
  </si>
  <si>
    <t>Investment</t>
  </si>
  <si>
    <t>Inventories and disc.</t>
  </si>
  <si>
    <t>Net export</t>
  </si>
  <si>
    <t>Private sector employment</t>
  </si>
  <si>
    <t>Agriculture</t>
  </si>
  <si>
    <t>Industry</t>
  </si>
  <si>
    <t>Market services</t>
  </si>
  <si>
    <t>Public sector</t>
  </si>
  <si>
    <t>Construction</t>
  </si>
  <si>
    <t>Total economy</t>
  </si>
  <si>
    <t>Goods</t>
  </si>
  <si>
    <t>Services</t>
  </si>
  <si>
    <t>CAB</t>
  </si>
  <si>
    <t>Total inflation</t>
  </si>
  <si>
    <t>Net inflation</t>
  </si>
  <si>
    <t>Food prices</t>
  </si>
  <si>
    <t>Regulated prices</t>
  </si>
  <si>
    <t>No.</t>
  </si>
  <si>
    <t>Indicator</t>
  </si>
  <si>
    <t>Actual</t>
  </si>
  <si>
    <t>Forecast</t>
  </si>
  <si>
    <t>unit</t>
  </si>
  <si>
    <t>GDP, current prices</t>
  </si>
  <si>
    <t>GDP, constant prices</t>
  </si>
  <si>
    <t xml:space="preserve">     Final consumption of households and NPISH[1]</t>
  </si>
  <si>
    <t xml:space="preserve">     Final consumption of government</t>
  </si>
  <si>
    <t xml:space="preserve">     Gross fixed capital formation</t>
  </si>
  <si>
    <t xml:space="preserve">     Export of goods and services</t>
  </si>
  <si>
    <t xml:space="preserve">     Import of goods and services</t>
  </si>
  <si>
    <t>Output gap (share of pot. output)</t>
  </si>
  <si>
    <t>Average montly wage (nominal growth)</t>
  </si>
  <si>
    <t>Average employment growth, LFS</t>
  </si>
  <si>
    <t>Average employment growth, ESA</t>
  </si>
  <si>
    <t>Unemployment rate, LFS</t>
  </si>
  <si>
    <t>Unemployment rate, registered</t>
  </si>
  <si>
    <t>HICP</t>
  </si>
  <si>
    <t>Current account balance (share of GDP)</t>
  </si>
  <si>
    <t>bn. eur</t>
  </si>
  <si>
    <t xml:space="preserve"> Zdroj: expertné predpoklady IFP</t>
  </si>
  <si>
    <t>Sales (mil. eur)</t>
  </si>
  <si>
    <t>No. of manufactured cars</t>
  </si>
  <si>
    <t>No. of jobs at suppliers</t>
  </si>
  <si>
    <t>Import intensity of export</t>
  </si>
  <si>
    <t xml:space="preserve"> Source: IFP expert assumptions</t>
  </si>
  <si>
    <t>Investment (mil. eur)</t>
  </si>
  <si>
    <t>GDP growth</t>
  </si>
  <si>
    <t>w/o JLR</t>
  </si>
  <si>
    <t>w/o JLR and VW</t>
  </si>
  <si>
    <t>Employment</t>
  </si>
  <si>
    <t>employment</t>
  </si>
  <si>
    <t>capital stock</t>
  </si>
  <si>
    <t>pot. output</t>
  </si>
  <si>
    <t>Pot. GDP (growth, %)</t>
  </si>
  <si>
    <t>Capital stock</t>
  </si>
  <si>
    <t>Labor</t>
  </si>
  <si>
    <t>output gap</t>
  </si>
  <si>
    <t>(real growth , %)</t>
  </si>
  <si>
    <t>Output gap</t>
  </si>
  <si>
    <t>(% pot. GDP)</t>
  </si>
  <si>
    <t>MFC (median)</t>
  </si>
  <si>
    <t>EC</t>
  </si>
  <si>
    <t>IMF</t>
  </si>
  <si>
    <t>CAB (% GDP)</t>
  </si>
  <si>
    <t>Source: MF SR (February 2015), Macroeconomic Forecasting Committee (January 2015), NBS (January 2015), EC (February 2015), OECD (November 2014) and IMF (April 2015)</t>
  </si>
  <si>
    <t>2. Cyclical component</t>
  </si>
  <si>
    <t xml:space="preserve">  - state debt (excl. International liabilities)</t>
  </si>
  <si>
    <t>4. Structural balance (1-2-3)</t>
  </si>
  <si>
    <t>p.m. change of gross debt</t>
  </si>
  <si>
    <t>p.m. net debt</t>
  </si>
  <si>
    <t>Gross debt (excl. EFSF and ESM)</t>
  </si>
  <si>
    <t>EFSF and ESM</t>
  </si>
  <si>
    <t>Consolidation effort (ESA2010, % GDP) </t>
  </si>
  <si>
    <t>Gemeral government balance</t>
  </si>
  <si>
    <t>General government gross debt</t>
  </si>
  <si>
    <t>Structural balance</t>
  </si>
  <si>
    <t>Gross debt (excl. ESM and EFSF)</t>
  </si>
  <si>
    <t>Consolidation effort EC</t>
  </si>
  <si>
    <t>EFSF and  ESM</t>
  </si>
  <si>
    <t>Net debt</t>
  </si>
  <si>
    <t>Total</t>
  </si>
  <si>
    <t>Measures</t>
  </si>
  <si>
    <t>% GDP</t>
  </si>
  <si>
    <t>Total revenues(1+2+3)</t>
  </si>
  <si>
    <t>1. Tax measures</t>
  </si>
  <si>
    <t>3. Grants and transfers</t>
  </si>
  <si>
    <t>Others</t>
  </si>
  <si>
    <t>Total (volume of consolidation/expansion against no-policy-change scenario)</t>
  </si>
  <si>
    <t xml:space="preserve">  Current expenditure</t>
  </si>
  <si>
    <t xml:space="preserve">    Compensation of employees</t>
  </si>
  <si>
    <t xml:space="preserve">   Intermediate Consumption</t>
  </si>
  <si>
    <t xml:space="preserve">    Subsidies</t>
  </si>
  <si>
    <t xml:space="preserve">    Interest</t>
  </si>
  <si>
    <t xml:space="preserve">    Total Social Transfers</t>
  </si>
  <si>
    <t xml:space="preserve">     - Social benefits other than in kind</t>
  </si>
  <si>
    <t xml:space="preserve">     - Social transfers in kind (healthcare facilities)</t>
  </si>
  <si>
    <t xml:space="preserve">    Other current transfers</t>
  </si>
  <si>
    <t>Capital expenditures</t>
  </si>
  <si>
    <t xml:space="preserve">    Capital Investment</t>
  </si>
  <si>
    <t xml:space="preserve">      - Gross fixed capital formation</t>
  </si>
  <si>
    <t xml:space="preserve">    Capital transfers</t>
  </si>
  <si>
    <t>3. Net lending/borrowing</t>
  </si>
  <si>
    <t xml:space="preserve"> - y-o-y change</t>
  </si>
  <si>
    <t>TABLE 18 - Consolidation effort (ESA2010, % GDP) </t>
  </si>
  <si>
    <t>1. GG balance</t>
  </si>
  <si>
    <t xml:space="preserve"> - digital dividend</t>
  </si>
  <si>
    <t xml:space="preserve"> - lower contribution to EU budget</t>
  </si>
  <si>
    <t xml:space="preserve"> - pension payment for armed forces</t>
  </si>
  <si>
    <t xml:space="preserve"> - antimonopoly office' fine for cartel in construction sector</t>
  </si>
  <si>
    <t>1.   Expenditures</t>
  </si>
  <si>
    <t>2.   Interest</t>
  </si>
  <si>
    <t>4.   Capital expenditures covered by national funds</t>
  </si>
  <si>
    <t>5.   Smoothing (national funds, 4-year rolling average)</t>
  </si>
  <si>
    <t>6.   Cyclical expenditures - unemployment benefits</t>
  </si>
  <si>
    <t xml:space="preserve">7.   Expenditures covered by automatically increased revenues </t>
  </si>
  <si>
    <t>8.   Primary expenditure aggregate (1-2-3-4+5-6-7)</t>
  </si>
  <si>
    <t>9. y-o-y change of primary expenditure aggregate (8t-8t-1)</t>
  </si>
  <si>
    <t>11. Nominal growth of expenditure aggregate net of DRM ((8t-9t)/7t-1)</t>
  </si>
  <si>
    <t xml:space="preserve">12. Real growth of expenditure aggreagate net of DRM </t>
  </si>
  <si>
    <t>13. Expenditure benchmark ( low reference bound)</t>
  </si>
  <si>
    <t>14. Deviation from expenditure benchmark (13-12)</t>
  </si>
  <si>
    <t>p. m. GDP deflator</t>
  </si>
  <si>
    <t>p.m. convergence margin</t>
  </si>
  <si>
    <t>Nominal GDP</t>
  </si>
  <si>
    <t xml:space="preserve"> - EFSF</t>
  </si>
  <si>
    <t xml:space="preserve"> - ESM</t>
  </si>
  <si>
    <t xml:space="preserve">  - debt of the other subjects</t>
  </si>
  <si>
    <t>B.  y-o-y gross debt change</t>
  </si>
  <si>
    <t xml:space="preserve"> - discount at maturity</t>
  </si>
  <si>
    <t>of which: ŽSSK</t>
  </si>
  <si>
    <t>of which: NDS</t>
  </si>
  <si>
    <t>of which: EOSA</t>
  </si>
  <si>
    <t xml:space="preserve"> - others</t>
  </si>
  <si>
    <t>v % GDP</t>
  </si>
  <si>
    <t>Note.: Positive items increase debt,  negative items decrease debt.</t>
  </si>
  <si>
    <t>A. GG gross debt (as of 1.1.)</t>
  </si>
  <si>
    <t>Y-o-y change of gross debt</t>
  </si>
  <si>
    <t>Main contributors to gross debt change:</t>
  </si>
  <si>
    <t>Primary balance</t>
  </si>
  <si>
    <t>Snowball effect</t>
  </si>
  <si>
    <t>Interest</t>
  </si>
  <si>
    <t>Nominal GDP growth</t>
  </si>
  <si>
    <t>Stock-flow adjustment</t>
  </si>
  <si>
    <t>Source: MF SR</t>
  </si>
  <si>
    <t>General government gross debt (% GDP, as of 31.12.) </t>
  </si>
  <si>
    <t>Gross debt</t>
  </si>
  <si>
    <t>Liquid assets</t>
  </si>
  <si>
    <t>Date</t>
  </si>
  <si>
    <t>Covered months</t>
  </si>
  <si>
    <t>CO1 Comdty</t>
  </si>
  <si>
    <t>Dátum</t>
  </si>
  <si>
    <t xml:space="preserve">Source: MoF SR                                                                                                       </t>
  </si>
  <si>
    <t xml:space="preserve">Sourcej: MoF SR                                                                                                       </t>
  </si>
  <si>
    <t>TABUĽKA 1 - Predpoklady vonkajšieho prostredia pre aktuálnu prognózu</t>
  </si>
  <si>
    <t>TABLE 1 - External assumption for the current forecast</t>
  </si>
  <si>
    <t>TABUĽKA 3 -  Predpoklady investičného zámeru a výroby JLR</t>
  </si>
  <si>
    <t>TABLE 3 -  Assumptions of the investment plan and production of JLR</t>
  </si>
  <si>
    <t>TABLE 4 - Assumptions of investment and new production of VW</t>
  </si>
  <si>
    <t>TABUĽKA 6 - Príspevky výrobných faktorov k rastu potenciálneho produktu – prístup EK</t>
  </si>
  <si>
    <t>TABLE 6 - Contribution of production factors to potential growth (pp) – COM approach</t>
  </si>
  <si>
    <t xml:space="preserve">Zdroj: MF SR        </t>
  </si>
  <si>
    <t xml:space="preserve">Source: MoF SR        </t>
  </si>
  <si>
    <t>TABLE 7 - Output gap - COM approach</t>
  </si>
  <si>
    <t>TABUĽKA 7 - Vývoj produkčnej medzery - prístup EK</t>
  </si>
  <si>
    <t>TABUĽKA 8 - Príspevky výrobných faktorov k rastu potenciálneho produktu – prístup MF SR</t>
  </si>
  <si>
    <t>Sorce: MoF SR</t>
  </si>
  <si>
    <t>TABLE 8 - Contribution of production factors to potential growth (pp) – MFSR approach</t>
  </si>
  <si>
    <t>TABUĽKA 9 - Vývoj produkčnej medzery - prístup MF SR</t>
  </si>
  <si>
    <t>TABLE 9 - Output gap  - MFSR approach</t>
  </si>
  <si>
    <t xml:space="preserve">Source: MoF SR       </t>
  </si>
  <si>
    <t xml:space="preserve">Zdroj:MF SR       </t>
  </si>
  <si>
    <t>Changes</t>
  </si>
  <si>
    <t>Sum</t>
  </si>
  <si>
    <t>Crossing X-axis</t>
  </si>
  <si>
    <t>Fill</t>
  </si>
  <si>
    <t>Change</t>
  </si>
  <si>
    <t xml:space="preserve">Zdroj: MF SR       </t>
  </si>
  <si>
    <t>2016 development</t>
  </si>
  <si>
    <r>
      <t>Base year (t</t>
    </r>
    <r>
      <rPr>
        <b/>
        <vertAlign val="subscript"/>
        <sz val="9"/>
        <color rgb="FF000000"/>
        <rFont val="Arial Narrow"/>
        <family val="2"/>
        <charset val="238"/>
      </rPr>
      <t>0</t>
    </r>
    <r>
      <rPr>
        <b/>
        <sz val="9"/>
        <color rgb="FF000000"/>
        <rFont val="Arial Narrow"/>
        <family val="2"/>
        <charset val="238"/>
      </rPr>
      <t>)</t>
    </r>
  </si>
  <si>
    <t>Structural primary balance</t>
  </si>
  <si>
    <r>
      <t>DEBT (t</t>
    </r>
    <r>
      <rPr>
        <b/>
        <vertAlign val="subscript"/>
        <sz val="9"/>
        <color rgb="FF000000"/>
        <rFont val="Arial Narrow"/>
        <family val="2"/>
        <charset val="238"/>
      </rPr>
      <t>0</t>
    </r>
    <r>
      <rPr>
        <b/>
        <sz val="9"/>
        <color rgb="FF000000"/>
        <rFont val="Arial Narrow"/>
        <family val="2"/>
        <charset val="238"/>
      </rPr>
      <t>)</t>
    </r>
  </si>
  <si>
    <r>
      <t>DEBT (t</t>
    </r>
    <r>
      <rPr>
        <b/>
        <vertAlign val="subscript"/>
        <sz val="9"/>
        <color rgb="FF000000"/>
        <rFont val="Arial Narrow"/>
        <family val="2"/>
        <charset val="238"/>
      </rPr>
      <t>1</t>
    </r>
    <r>
      <rPr>
        <b/>
        <sz val="9"/>
        <color rgb="FF000000"/>
        <rFont val="Arial Narrow"/>
        <family val="2"/>
        <charset val="238"/>
      </rPr>
      <t>)</t>
    </r>
  </si>
  <si>
    <t>Scenario MTO</t>
  </si>
  <si>
    <t>S1 Indicator</t>
  </si>
  <si>
    <t>Scenario MTO (2019)</t>
  </si>
  <si>
    <t>S2 Indicator</t>
  </si>
  <si>
    <t>of which:</t>
  </si>
  <si>
    <t xml:space="preserve">  Initial budgetary position</t>
  </si>
  <si>
    <t xml:space="preserve">  Cost of delaying adjustment</t>
  </si>
  <si>
    <t xml:space="preserve">  Debt requirement</t>
  </si>
  <si>
    <t xml:space="preserve">  Long-term components (ageing costs)</t>
  </si>
  <si>
    <t xml:space="preserve">  Health &amp; Long-term care expenditures</t>
  </si>
  <si>
    <t xml:space="preserve">  Pension expenditures</t>
  </si>
  <si>
    <t xml:space="preserve">  Education &amp; Unemployment expendituresi</t>
  </si>
  <si>
    <t xml:space="preserve">One-offs  (ESA2010, mil. eur) </t>
  </si>
  <si>
    <t xml:space="preserve">One-offs (ESA2010, % GDP) </t>
  </si>
  <si>
    <t>SPOLU - EC methodology</t>
  </si>
  <si>
    <t>Total - EC methodology</t>
  </si>
  <si>
    <t>GRAF 4 – Pokles na akciových trhoch (baza=12.2014)</t>
  </si>
  <si>
    <t>GRAF 5 – Výnosy 10-ročnych štátnych dlhopisov (%)</t>
  </si>
  <si>
    <t>TABUĽKA 5 – Príspevky JLR a VW k medziročným rastom</t>
  </si>
  <si>
    <t>MoF SR</t>
  </si>
  <si>
    <t>2. Total expenditures</t>
  </si>
  <si>
    <t>1. General government balance - Fiscal objectives</t>
  </si>
  <si>
    <t>3. One-off effects</t>
  </si>
  <si>
    <t>5. Consolidation effort according to the EC</t>
  </si>
  <si>
    <t xml:space="preserve">  - state debt (excl. the impact of international liabilities)</t>
  </si>
  <si>
    <t xml:space="preserve"> - SR commitment under EFSF</t>
  </si>
  <si>
    <t xml:space="preserve"> - contributions to ESM</t>
  </si>
  <si>
    <t xml:space="preserve">  - debt of other general government entities</t>
  </si>
  <si>
    <t>p.m. change in gross debt</t>
  </si>
  <si>
    <t xml:space="preserve"> - state budget deficit (cash accounting)</t>
  </si>
  <si>
    <t xml:space="preserve"> - State Treasury funds used to finance state needs</t>
  </si>
  <si>
    <t xml:space="preserve"> - Contributions to ESM</t>
  </si>
  <si>
    <t xml:space="preserve"> - issuance discount</t>
  </si>
  <si>
    <t xml:space="preserve"> - indebtedness of other GG entities</t>
  </si>
  <si>
    <t>of which: Railways of the SR (ŽSR)</t>
  </si>
  <si>
    <t>of which: municipal public transportation companies</t>
  </si>
  <si>
    <t>of which: municipalities</t>
  </si>
  <si>
    <t>of which: higher territorial units</t>
  </si>
  <si>
    <t>C. Gross debt of general government (as of 31 December) (A+B)</t>
  </si>
  <si>
    <t>Gradual consolidation</t>
  </si>
  <si>
    <r>
      <t>Final year (t</t>
    </r>
    <r>
      <rPr>
        <b/>
        <vertAlign val="subscript"/>
        <sz val="9"/>
        <color rgb="FF000000"/>
        <rFont val="Arial Narrow"/>
        <family val="2"/>
        <charset val="238"/>
      </rPr>
      <t>1</t>
    </r>
    <r>
      <rPr>
        <b/>
        <sz val="9"/>
        <color rgb="FF000000"/>
        <rFont val="Arial Narrow"/>
        <family val="2"/>
        <charset val="238"/>
      </rPr>
      <t>)</t>
    </r>
  </si>
  <si>
    <t xml:space="preserve">  Revenue shortfall due to the second pillar</t>
  </si>
  <si>
    <t>TABLE 2 - Forecast of selected indicators of the Slovak economy for 2017 to 2019</t>
  </si>
  <si>
    <t>TABUĽKA 2 - Prognóza vybraných indikátorov vývoja ekonomiky SR pre východiská rozpočtu pre rok 2017 – 2019</t>
  </si>
  <si>
    <t>FIGURE 3 -  BRENT Oil price (USD/bl), commodity prices</t>
  </si>
  <si>
    <t>FIGURE 4 – Stock market slump (basis=12.2014)</t>
  </si>
  <si>
    <t>FIGURE 5 – 10y government bond yields (%)</t>
  </si>
  <si>
    <t>FIGURE 10 – Beveridge curve</t>
  </si>
  <si>
    <t>FIGURE 16 - Structure of consumer inflation - contributions of components (y/y, pp)</t>
  </si>
  <si>
    <t>Gross general government debt (% GDP, as of 31.12.) </t>
  </si>
  <si>
    <t>TABLE 5 – Contributions of JLR and VW to growth</t>
  </si>
  <si>
    <t>oficiálna prognóza</t>
  </si>
  <si>
    <t>alternatívna prognóza</t>
  </si>
  <si>
    <t>alternative forecast</t>
  </si>
  <si>
    <t>GG gross debt</t>
  </si>
  <si>
    <t>Obsah - Program stability Slovenskej republiky na roky 2017 až 2020</t>
  </si>
  <si>
    <t>Zdroj: MF SR február 2017 *EK Winter Forecast február 2017</t>
  </si>
  <si>
    <t>Source: MF SR February 2017 *EK Winter Forecast február 2017</t>
  </si>
  <si>
    <t>Tovar</t>
  </si>
  <si>
    <t>Primárne výnosy</t>
  </si>
  <si>
    <t>Sekundárne výnosy</t>
  </si>
  <si>
    <t>Primary income</t>
  </si>
  <si>
    <t>Secondary income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</si>
  <si>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</si>
  <si>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</si>
  <si>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</si>
  <si>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</si>
  <si>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</si>
  <si>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</si>
  <si>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</si>
  <si>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</si>
  <si>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</si>
  <si>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</si>
  <si>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</si>
  <si>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CAB - Q</t>
  </si>
  <si>
    <t>CAB - A</t>
  </si>
  <si>
    <t>Zmena nepriamych daní</t>
  </si>
  <si>
    <t>Change in indirect taxes</t>
  </si>
  <si>
    <t>2020F</t>
  </si>
  <si>
    <t>2016Q1</t>
  </si>
  <si>
    <t>2016Q2</t>
  </si>
  <si>
    <t>2016Q3</t>
  </si>
  <si>
    <t>2016Q4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</si>
  <si>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</si>
  <si>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</si>
  <si>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</si>
  <si>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</si>
  <si>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</si>
  <si>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</si>
  <si>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</si>
  <si>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</si>
  <si>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</si>
  <si>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</si>
  <si>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</si>
  <si>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</si>
  <si>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</si>
  <si>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</si>
  <si>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</si>
  <si>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</si>
  <si>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</si>
  <si>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</si>
  <si>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</si>
  <si>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</si>
  <si>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</si>
  <si>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</si>
  <si>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</si>
  <si>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</si>
  <si>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GRAF 10 – Miera nezamestnanosti (VZPS), v %</t>
  </si>
  <si>
    <t>Unemployment rate, SA</t>
  </si>
  <si>
    <t>Long-term unemployment rate</t>
  </si>
  <si>
    <t>Miera nezamestnanosti, (VZPS, SA IFP)</t>
  </si>
  <si>
    <t>Miera dlhodobej nezamestnanosti (VZPS)</t>
  </si>
  <si>
    <t>GRAF 10 – Unemployment rate, in %</t>
  </si>
  <si>
    <t>GRAF 7 – Príspevky k rastu HDP (p. b.)</t>
  </si>
  <si>
    <t>FIGURE 7 – Contributions to GDP growth (pp)</t>
  </si>
  <si>
    <r>
      <t xml:space="preserve">1 </t>
    </r>
    <r>
      <rPr>
        <i/>
        <sz val="9"/>
        <color rgb="FF000000"/>
        <rFont val="Arial Narrow"/>
        <family val="2"/>
        <charset val="238"/>
      </rPr>
      <t xml:space="preserve">Plne prevzaté predpoklady investora. </t>
    </r>
    <r>
      <rPr>
        <i/>
        <vertAlign val="superscript"/>
        <sz val="9"/>
        <color rgb="FF000000"/>
        <rFont val="Arial Narrow"/>
        <family val="2"/>
        <charset val="238"/>
      </rPr>
      <t xml:space="preserve">2 </t>
    </r>
    <r>
      <rPr>
        <i/>
        <sz val="9"/>
        <color rgb="FF000000"/>
        <rFont val="Arial Narrow"/>
        <family val="2"/>
        <charset val="238"/>
      </rPr>
      <t xml:space="preserve">Predpokladá sa 30 % dovozná náročnosť pri výstavbe. Pre dovoz strojov a technológií sa očakáva 80 % dovozná náročnosť, pri zušľachťovaní pozemku 0 % a pre know-how 100 % dovozná náročnosť. </t>
    </r>
  </si>
  <si>
    <t>Pozn.: * Program stability SR na roky 2016 až 2019</t>
  </si>
  <si>
    <t>3. Rozpočet VS na roky 2017 až 2019</t>
  </si>
  <si>
    <t>1. Rozpočet VS na roky 2015 až 2017</t>
  </si>
  <si>
    <t>2. Rozpočet VS na roky 2016 až 2018</t>
  </si>
  <si>
    <t>4. Fiškálny rámec rozpočtu VS v Programe stability na roky 2018-2020</t>
  </si>
  <si>
    <t>Zmena oproti rozpočtu VS 2015 až 2017 (4-1)</t>
  </si>
  <si>
    <t>Zmena oproti rozpočtu VS 2016 až 2018 (4-2)</t>
  </si>
  <si>
    <t>Zmena oproti rozpočtu VS 2017 až 2019 (4-3)</t>
  </si>
  <si>
    <t>1. GG budget for 2015 to 2017</t>
  </si>
  <si>
    <t>2. GG budget for 2016 to 2018</t>
  </si>
  <si>
    <t>3. GG budget for 2017 to 2019</t>
  </si>
  <si>
    <t>4. Fiscal framework of the GG budget in the Stability Programme for 2018-2020</t>
  </si>
  <si>
    <t>Change compared to the GG budget 2015 to 2017 (4-1)</t>
  </si>
  <si>
    <t>Change compared to the GG budget 2016 to 2018 (4-2)</t>
  </si>
  <si>
    <t>Change compared to the GG budget 2017 to 2019 (4-3)</t>
  </si>
  <si>
    <t>Current account balance (calculated, % of nominal GDP)</t>
  </si>
  <si>
    <t>TABUĽKA 10 - Porovnanie prognóz MF SR a ostatných inštitúcií</t>
  </si>
  <si>
    <t>TABLE 10 - Comparisons of forecasts of MFSR and other institutions</t>
  </si>
  <si>
    <t>Vývoj v roku 2017</t>
  </si>
  <si>
    <t>Index závislosti, pôvodne</t>
  </si>
  <si>
    <t>Index závislosti, aktualizácia</t>
  </si>
  <si>
    <t>Počet obyvateľov, pôvodne (pravá os)</t>
  </si>
  <si>
    <t>Počet obyvateľov, aktualizácia (pravá os)</t>
  </si>
  <si>
    <t>Zdroj: eurostat</t>
  </si>
  <si>
    <t>Inflačné očakávania v roku 2017</t>
  </si>
  <si>
    <t>Inflation expectations in 2017</t>
  </si>
  <si>
    <t>Príspevky</t>
  </si>
  <si>
    <t xml:space="preserve">Súkromné jadrové investície </t>
  </si>
  <si>
    <t>Verejné investície</t>
  </si>
  <si>
    <t>D4R7</t>
  </si>
  <si>
    <t>Investments</t>
  </si>
  <si>
    <t>Contributions</t>
  </si>
  <si>
    <t>Private core investments*</t>
  </si>
  <si>
    <t>Public investments</t>
  </si>
  <si>
    <t xml:space="preserve">GRAF 8  Príspevky k rastu investícií (p. b.) </t>
  </si>
  <si>
    <t>* Private investments without JLR, VW and D4R7</t>
  </si>
  <si>
    <t>* Súkromné investície bez JLR, VW a D4R7</t>
  </si>
  <si>
    <t>FIGURE 8  Contributions to investments growth (pp)</t>
  </si>
  <si>
    <t>GRAF 6 – Vývoj inflácie a inflačných očakávaní (%)</t>
  </si>
  <si>
    <t>FIGURE 6 – current inflation and expectations (%)</t>
  </si>
  <si>
    <t xml:space="preserve">Zdroj: ECB, Eurostat                                                                                             </t>
  </si>
  <si>
    <t xml:space="preserve">Zdroj: ECB, Eurostat                                                                                                 </t>
  </si>
  <si>
    <t xml:space="preserve">Zdroj: MF SR, Bloomberg                                                                                             </t>
  </si>
  <si>
    <t xml:space="preserve">Source: MF SR, Bloomberg                                                                                             </t>
  </si>
  <si>
    <t>GRAF 3 - Vývoj cien ropy a komodít</t>
  </si>
  <si>
    <t>Headline balance - Final</t>
  </si>
  <si>
    <t>Vyššie odvody (D.61)</t>
  </si>
  <si>
    <t>Nižšie kapitálové investície (P.5L=P.51G)</t>
  </si>
  <si>
    <t>Vyššie nedaňové príjmy (P.11+P.12+P.131+D.4)</t>
  </si>
  <si>
    <t>Úspora na úrokových nákladoch (D.41P)</t>
  </si>
  <si>
    <t>Nižšie granty a transfery (D.39+D.7R+D.9R)</t>
  </si>
  <si>
    <t>Medzispotreba (P.2)</t>
  </si>
  <si>
    <t>Vyššie kapitálové transfery (D.9P)</t>
  </si>
  <si>
    <t>Vyššie výdavky verejného zdravotného poistenia (D.632P)</t>
  </si>
  <si>
    <t>Vyššie výdavky na sociálne dávky (D.62P)</t>
  </si>
  <si>
    <t>Dotácie (D.3P)</t>
  </si>
  <si>
    <t>Kompenzácie zamestnancov (D.1P)</t>
  </si>
  <si>
    <t>Lower grants and transfers (D.39+D.7R+D.9R)</t>
  </si>
  <si>
    <t>Higher intermediate consumption (P.2)</t>
  </si>
  <si>
    <t>Lower capital transfers (D.9P)</t>
  </si>
  <si>
    <t>Higher expenditures on healthcare (D.632P)</t>
  </si>
  <si>
    <t>Higier social benefits expenditure (D.62P)</t>
  </si>
  <si>
    <t>Subsidies (D.3P)</t>
  </si>
  <si>
    <t>Higher compensations (D.1P)</t>
  </si>
  <si>
    <t>Higher social contributions (D.61)</t>
  </si>
  <si>
    <t>Lower capital investments (P.5L=P.51G)</t>
  </si>
  <si>
    <t>Higher nontax revenues (P.11+P.12+P.131+D.4)</t>
  </si>
  <si>
    <t>Savings on interest (D.41P)</t>
  </si>
  <si>
    <t>Revidované výdavky a identifikované úspory (mil. eur)</t>
  </si>
  <si>
    <t>Úspory zahrnuté v rozpočte</t>
  </si>
  <si>
    <t>Revidované výdavky a identifikované úspory (%)</t>
  </si>
  <si>
    <t>Rast reálneho HDP</t>
  </si>
  <si>
    <t>Deflátor  HDP</t>
  </si>
  <si>
    <t>Real GDP growth</t>
  </si>
  <si>
    <t>GDP deflator</t>
  </si>
  <si>
    <t>official</t>
  </si>
  <si>
    <t>median</t>
  </si>
  <si>
    <t>official forecast</t>
  </si>
  <si>
    <t>štrukturálne saldo</t>
  </si>
  <si>
    <t>úrokové naklady</t>
  </si>
  <si>
    <t>strukturalne primarne saldo</t>
  </si>
  <si>
    <t>structural balance</t>
  </si>
  <si>
    <t>interests paid</t>
  </si>
  <si>
    <t>primary structural balance</t>
  </si>
  <si>
    <t>y-o-y primary structural balance</t>
  </si>
  <si>
    <t>zmena produkčnej medzery</t>
  </si>
  <si>
    <t>y-o-y output gap</t>
  </si>
  <si>
    <t>zmena štrukturálneho primárneho salda</t>
  </si>
  <si>
    <t>Scenár 2017</t>
  </si>
  <si>
    <t>Scenár 2017 s dlhovou brzdou</t>
  </si>
  <si>
    <t>Scenario 2017</t>
  </si>
  <si>
    <t>Scenario 2017 with debt break</t>
  </si>
  <si>
    <t>2018 - 2020</t>
  </si>
  <si>
    <t>2017 (v % HDP)</t>
  </si>
  <si>
    <t>Kapitálové investície, z toho:</t>
  </si>
  <si>
    <t>P.5L</t>
  </si>
  <si>
    <t xml:space="preserve">    Významné investície (rezervy)</t>
  </si>
  <si>
    <t>P.51g</t>
  </si>
  <si>
    <t xml:space="preserve">    MH Invest, v tom:</t>
  </si>
  <si>
    <t>P.51g+NP</t>
  </si>
  <si>
    <t>NP</t>
  </si>
  <si>
    <t xml:space="preserve">    Dopravné projekty (MDV SR - SSC)</t>
  </si>
  <si>
    <t xml:space="preserve">    Rekonštrukcia a modernizácia budov (MPRV SR)</t>
  </si>
  <si>
    <t>Štadióny</t>
  </si>
  <si>
    <t>D.9p</t>
  </si>
  <si>
    <t>EÚ korekcie</t>
  </si>
  <si>
    <t>Jednorazový vplyv v mzdách</t>
  </si>
  <si>
    <t>D.1</t>
  </si>
  <si>
    <t xml:space="preserve">Rezerva na tovary a služby </t>
  </si>
  <si>
    <t>Bežné transfery</t>
  </si>
  <si>
    <t>D.7p</t>
  </si>
  <si>
    <t>Jednorazová subvencia SVP</t>
  </si>
  <si>
    <t>D.3p</t>
  </si>
  <si>
    <t>2017 ( % of GDP)</t>
  </si>
  <si>
    <t>Capital investment, of which</t>
  </si>
  <si>
    <t xml:space="preserve">    Investment priorities (reserves)</t>
  </si>
  <si>
    <t xml:space="preserve">    MH Invest, of which:</t>
  </si>
  <si>
    <r>
      <t xml:space="preserve">         </t>
    </r>
    <r>
      <rPr>
        <sz val="9"/>
        <color rgb="FF000000"/>
        <rFont val="Arial Narrow"/>
        <family val="2"/>
        <charset val="238"/>
      </rPr>
      <t>MH invest (výkup pozemkov)</t>
    </r>
  </si>
  <si>
    <r>
      <t xml:space="preserve">         </t>
    </r>
    <r>
      <rPr>
        <sz val="9"/>
        <color rgb="FF000000"/>
        <rFont val="Arial Narrow"/>
        <family val="2"/>
        <charset val="238"/>
      </rPr>
      <t>MH invest (purchase of land)</t>
    </r>
  </si>
  <si>
    <t xml:space="preserve">    Infrastructure projects (MDV SR - SSC)</t>
  </si>
  <si>
    <t xml:space="preserve">   Buildings reconstruction (MPRV SR)</t>
  </si>
  <si>
    <t>Sport arenas (stadiums)</t>
  </si>
  <si>
    <t>EU funds corrections</t>
  </si>
  <si>
    <t>Sallary one-off impacts</t>
  </si>
  <si>
    <t>Intermediary consumption (reserve)</t>
  </si>
  <si>
    <t>Current transfers</t>
  </si>
  <si>
    <t>One-off subsidy SVP</t>
  </si>
  <si>
    <t>ESA2010</t>
  </si>
  <si>
    <t>Subsektor</t>
  </si>
  <si>
    <t>1.Daňové príjmy</t>
  </si>
  <si>
    <t>2.Nedaňové príjmy (P.11+P.12)</t>
  </si>
  <si>
    <t>3.Granty a transfery (D.7R)</t>
  </si>
  <si>
    <t>4.Kompenzácie</t>
  </si>
  <si>
    <t>5.Medzispotreba, z toho</t>
  </si>
  <si>
    <t>Štátny rozpočet</t>
  </si>
  <si>
    <t>Obce</t>
  </si>
  <si>
    <t>VVŠ</t>
  </si>
  <si>
    <t>6.Subvencie</t>
  </si>
  <si>
    <t>7.Sociálne transfery, z toho</t>
  </si>
  <si>
    <t>Prepočítanie penzií</t>
  </si>
  <si>
    <t>8.Ostatné bežné transfery</t>
  </si>
  <si>
    <t>9.Kapitálové výdavky, z toho</t>
  </si>
  <si>
    <t>Dopravné podniky samosprávy</t>
  </si>
  <si>
    <t>Investičné rezervy</t>
  </si>
  <si>
    <t>Investičné výdavky štátneho rozpočtu bez rezerv</t>
  </si>
  <si>
    <t>TABUĽKA 14 - Zoznam opatrení vo fiškálnom rámci na roky 2018 až 2020 (ESA 2010, voči NPC, vplyv na saldo)</t>
  </si>
  <si>
    <t>TABLE 14 - List of measures in the fiscal framework for 2018 to 2020 (ESA 2010, compared to NPC, impact on the balance)</t>
  </si>
  <si>
    <t>Subsector</t>
  </si>
  <si>
    <t>2. Non-tax revenues  (P.11+P.12)</t>
  </si>
  <si>
    <t>4. Compensation</t>
  </si>
  <si>
    <t xml:space="preserve">    Municipalities</t>
  </si>
  <si>
    <t xml:space="preserve">    Public Universities</t>
  </si>
  <si>
    <t xml:space="preserve">    State budget</t>
  </si>
  <si>
    <t>6. Subsidies</t>
  </si>
  <si>
    <t>Pensions amendment</t>
  </si>
  <si>
    <t>8.Other current transfers</t>
  </si>
  <si>
    <t>5. Intermediate consumption, of which</t>
  </si>
  <si>
    <t>7. Social security, of which</t>
  </si>
  <si>
    <t>9. Capital investments, of which</t>
  </si>
  <si>
    <t xml:space="preserve">   Transport companies of local governments</t>
  </si>
  <si>
    <t xml:space="preserve">   Reserves for investments</t>
  </si>
  <si>
    <t xml:space="preserve">   Investment expenditures of state budget (no reserves)</t>
  </si>
  <si>
    <t>Výdavky spolu (4+5+6+7+8+9)</t>
  </si>
  <si>
    <t>Total expenditures (4+5+6+7+8+9)</t>
  </si>
  <si>
    <t>Note: * Stability Programme of SR for 2016 - 2019</t>
  </si>
  <si>
    <t xml:space="preserve"> -</t>
  </si>
  <si>
    <t>Fiškálne multiplikátory</t>
  </si>
  <si>
    <t>Fiscal multipliers</t>
  </si>
  <si>
    <t>2. Saldo verejnej správy - Scenár NPC</t>
  </si>
  <si>
    <t>2. General government balance - NPC scenario</t>
  </si>
  <si>
    <t>3. Size of measures (1-3)</t>
  </si>
  <si>
    <t>3. Veľkosť opatrení (1-2)</t>
  </si>
  <si>
    <t>RVS</t>
  </si>
  <si>
    <t>RVS-NPC</t>
  </si>
  <si>
    <t>Príjmy spolu</t>
  </si>
  <si>
    <t>Daňové príjmy</t>
  </si>
  <si>
    <t>Nedaňové príjmy (P.11+P.12)</t>
  </si>
  <si>
    <t>Granty a transfery, z toho (D.7R)</t>
  </si>
  <si>
    <t xml:space="preserve">     - Sociálne dávky okrem naturálnych soc. transferov</t>
  </si>
  <si>
    <t>Tax revenue</t>
  </si>
  <si>
    <t>Revenue total</t>
  </si>
  <si>
    <t>Non-tax revenue (P.11+P.12)</t>
  </si>
  <si>
    <t>Grants and transfers (D.7R)</t>
  </si>
  <si>
    <t>Ostatné bežné transfery (D.7P)</t>
  </si>
  <si>
    <t>Vplyv JAVYSu na saldo VS</t>
  </si>
  <si>
    <t>Nižšie daňové príjmy (D.2+D.5+D.91)</t>
  </si>
  <si>
    <t>Saldo VS - očakávaná skutočnosť</t>
  </si>
  <si>
    <t>JAVYS</t>
  </si>
  <si>
    <t>Higher current transfers (D.7P)</t>
  </si>
  <si>
    <t>Expected headline balance</t>
  </si>
  <si>
    <t>Lower tax revenue (D.2+D.5+D.91)</t>
  </si>
  <si>
    <t>Vyššie daňové príjmy (D.2+D.5+D.91)</t>
  </si>
  <si>
    <t>Subvencie (D.3P)</t>
  </si>
  <si>
    <t>Vyššie kapitálové investície (P.5L=P.51G)</t>
  </si>
  <si>
    <t>Vyššie na úrokové náklady (D.41P)</t>
  </si>
  <si>
    <t>Vyššie štátom platené dane (D.2+D.5)</t>
  </si>
  <si>
    <t>Vyvoj v roku 2016</t>
  </si>
  <si>
    <t>2017 development</t>
  </si>
  <si>
    <t>Higher tax revenue (D.2+D.5+D.91)</t>
  </si>
  <si>
    <t>Higher capital investments (P.5L=P.51G)</t>
  </si>
  <si>
    <t>Higher taxes -paid by government (D.2+D.5)</t>
  </si>
  <si>
    <t>Odchýlka (1r)</t>
  </si>
  <si>
    <t>Odchýlka (2r)</t>
  </si>
  <si>
    <t>Required consolidation effort</t>
  </si>
  <si>
    <t>2017 OS</t>
  </si>
  <si>
    <t>3.   Výdavky kryté EU (kapitálové)</t>
  </si>
  <si>
    <t>3a. Výdavky kryté EÚ zdrojmi (celkové)</t>
  </si>
  <si>
    <t>8.   Primárny výdavkový agregát (1-2-3a-4+5-6-7)</t>
  </si>
  <si>
    <t>3.   Expenditures covered by EU funds (capital)</t>
  </si>
  <si>
    <t>3a. Expenditures covered by EU funds (total)</t>
  </si>
  <si>
    <t>Deviation from expenditure benchmark (% GDP)</t>
  </si>
  <si>
    <t>Two-year deviation from expenditure benchmark</t>
  </si>
  <si>
    <t>2017 E</t>
  </si>
  <si>
    <t>PS 2016-2019</t>
  </si>
  <si>
    <t>PS 2017-2020</t>
  </si>
  <si>
    <t xml:space="preserve">
Skutočnosť</t>
  </si>
  <si>
    <t>Rozpočet</t>
  </si>
  <si>
    <t>D.2+D.5+D.91</t>
  </si>
  <si>
    <t>Dane z produkcie a dovozu</t>
  </si>
  <si>
    <t>D.2</t>
  </si>
  <si>
    <t xml:space="preserve"> - Daň z pridanej hodnoty (spolu so zdrojmi EÚ)</t>
  </si>
  <si>
    <t xml:space="preserve">D.211 </t>
  </si>
  <si>
    <t xml:space="preserve"> - Spotrebné dane</t>
  </si>
  <si>
    <t xml:space="preserve">D.2122C+D.214A </t>
  </si>
  <si>
    <t xml:space="preserve"> - Dovozné clo</t>
  </si>
  <si>
    <t xml:space="preserve">D.2121 </t>
  </si>
  <si>
    <t xml:space="preserve"> - Dane z majetku a iné</t>
  </si>
  <si>
    <t xml:space="preserve">D.29A </t>
  </si>
  <si>
    <t>Bežné dane z dôchodkov, majetku</t>
  </si>
  <si>
    <t>D.5</t>
  </si>
  <si>
    <t xml:space="preserve"> - Daň z príjmov fyzických osôb</t>
  </si>
  <si>
    <t xml:space="preserve">D.51A </t>
  </si>
  <si>
    <t xml:space="preserve"> - zo závislej činnosti</t>
  </si>
  <si>
    <t xml:space="preserve"> - z podnikania a inej samostatnej zár. činnosti</t>
  </si>
  <si>
    <t xml:space="preserve"> - Daň z príjmov právnických osôb</t>
  </si>
  <si>
    <t xml:space="preserve">D.51B </t>
  </si>
  <si>
    <t xml:space="preserve"> - Daň z príjmov vyberaná zrážkou - rozp. klasif.</t>
  </si>
  <si>
    <t>D.51E</t>
  </si>
  <si>
    <t xml:space="preserve"> - Daň z príjmov - emisie</t>
  </si>
  <si>
    <t>D.59A</t>
  </si>
  <si>
    <t>Dane z kapitálu</t>
  </si>
  <si>
    <t>D.91</t>
  </si>
  <si>
    <t>Príspevky na sociálne zabezpečenie</t>
  </si>
  <si>
    <t>D.61</t>
  </si>
  <si>
    <t>Skutočné príspevky na sociálne zabezpečenie</t>
  </si>
  <si>
    <t>D.611</t>
  </si>
  <si>
    <t xml:space="preserve"> - Príspevky zamestnávateľov</t>
  </si>
  <si>
    <t xml:space="preserve">D.6111 </t>
  </si>
  <si>
    <t xml:space="preserve"> - Príspevky zamestnancov</t>
  </si>
  <si>
    <t xml:space="preserve">D.6112 </t>
  </si>
  <si>
    <t xml:space="preserve"> - Príspevky SZČO a nepracujúcich osôb</t>
  </si>
  <si>
    <t xml:space="preserve">D.6113 </t>
  </si>
  <si>
    <t>Imputované príspevky na sociálne zabezpečenie</t>
  </si>
  <si>
    <t>D.612</t>
  </si>
  <si>
    <t>Nedaňové príjmy</t>
  </si>
  <si>
    <t>Tržby</t>
  </si>
  <si>
    <t xml:space="preserve"> - Trhová produkcia + Produkcia pre vlastné konečné použitie</t>
  </si>
  <si>
    <t>P.11+P.12</t>
  </si>
  <si>
    <t xml:space="preserve"> - Platby za ostatnú netrhovú produkciu</t>
  </si>
  <si>
    <t>P.131</t>
  </si>
  <si>
    <t>Dôchodky z majetku, z ktorých</t>
  </si>
  <si>
    <t>D.4</t>
  </si>
  <si>
    <t xml:space="preserve"> - Dividendy</t>
  </si>
  <si>
    <t xml:space="preserve"> - Úroky</t>
  </si>
  <si>
    <t>D.41</t>
  </si>
  <si>
    <t>Granty a transfery</t>
  </si>
  <si>
    <t>D.39+D.7+D.9</t>
  </si>
  <si>
    <t>z toho: z EÚ</t>
  </si>
  <si>
    <t>Ostatné subvencie ma produkciu</t>
  </si>
  <si>
    <t>D.39</t>
  </si>
  <si>
    <t>Ostatné bežné transfery</t>
  </si>
  <si>
    <t>D.7</t>
  </si>
  <si>
    <t>Kapitálové transfery</t>
  </si>
  <si>
    <t>D.9</t>
  </si>
  <si>
    <t>Výdavky spolu</t>
  </si>
  <si>
    <t>TE</t>
  </si>
  <si>
    <t>Bežné výdavky</t>
  </si>
  <si>
    <t xml:space="preserve"> - Mzdy a platy</t>
  </si>
  <si>
    <t xml:space="preserve">D.11 </t>
  </si>
  <si>
    <t xml:space="preserve"> - Sociálne príspevky zamestnávateľov</t>
  </si>
  <si>
    <t xml:space="preserve">D.12 </t>
  </si>
  <si>
    <t>Medzispotreba</t>
  </si>
  <si>
    <t>Dane</t>
  </si>
  <si>
    <t>D.29+D.5</t>
  </si>
  <si>
    <t>Iné dane z produkcie</t>
  </si>
  <si>
    <t>D.29</t>
  </si>
  <si>
    <t>Bežné dane z majetku, atď.</t>
  </si>
  <si>
    <t>Subvencie</t>
  </si>
  <si>
    <t>D.3</t>
  </si>
  <si>
    <t xml:space="preserve"> - Dotácie do poľnohospodárstva</t>
  </si>
  <si>
    <t xml:space="preserve"> - Dotácie do dopravy</t>
  </si>
  <si>
    <t xml:space="preserve"> - železničná doprava</t>
  </si>
  <si>
    <t xml:space="preserve"> - cestná doprava</t>
  </si>
  <si>
    <t xml:space="preserve"> - Ostatné</t>
  </si>
  <si>
    <t>Dôchodky z majetku</t>
  </si>
  <si>
    <t>Úrokové náklady</t>
  </si>
  <si>
    <t>Ostatné dôchodky z majetku</t>
  </si>
  <si>
    <t>Celkové sociálne transfery</t>
  </si>
  <si>
    <t>D.6</t>
  </si>
  <si>
    <t xml:space="preserve"> - Sociálne dávky okrem naturálnych soc. transferov</t>
  </si>
  <si>
    <t>D.62</t>
  </si>
  <si>
    <t xml:space="preserve"> - Aktívne opatrenia trhu práce</t>
  </si>
  <si>
    <t xml:space="preserve"> - Nemocenské dávky</t>
  </si>
  <si>
    <t xml:space="preserve"> - Dôchodkové dávky zo starobného a invalidného poistenia</t>
  </si>
  <si>
    <t xml:space="preserve"> - Dávky v nezamestnanosti</t>
  </si>
  <si>
    <t xml:space="preserve"> - Štátne sociálne dávky a podpora</t>
  </si>
  <si>
    <t xml:space="preserve"> - na prídavok na dieťa</t>
  </si>
  <si>
    <t xml:space="preserve"> - na príspevok pri narodení dieťaťa a prísp. rodičom</t>
  </si>
  <si>
    <t xml:space="preserve"> - na rodičovský príspevok</t>
  </si>
  <si>
    <t xml:space="preserve"> - na dávku v hmotnej núdzi a príspevky k dávke</t>
  </si>
  <si>
    <t xml:space="preserve"> - na peňažné príspevky na kompenzáciu</t>
  </si>
  <si>
    <t xml:space="preserve"> - Platené poistné za skupiny osôb ustanovené zákonom</t>
  </si>
  <si>
    <t xml:space="preserve"> - sociálne poistenie</t>
  </si>
  <si>
    <t xml:space="preserve"> - zdravotné poistenie</t>
  </si>
  <si>
    <t xml:space="preserve"> - Naturálne sociálne transfery (zdravotnícke zariadenia)</t>
  </si>
  <si>
    <t>z toho: Odvody do rozpočtu EÚ</t>
  </si>
  <si>
    <t>z toho: 2% z daní na verejnoprospešný účel</t>
  </si>
  <si>
    <t>Kapitálové výdavky</t>
  </si>
  <si>
    <t>Kapitálové investície</t>
  </si>
  <si>
    <t xml:space="preserve"> - Tvorba hrubého fixného kapitálu</t>
  </si>
  <si>
    <t xml:space="preserve"> - Zmena stavu zásob a nadobudnutie mínus úbytok cenností</t>
  </si>
  <si>
    <t xml:space="preserve"> - Nadobudnutie mínus úbytok nefinančných neprodukovaných aktív</t>
  </si>
  <si>
    <t xml:space="preserve"> - Investičné dotácie a ostatné kapitálové transfery</t>
  </si>
  <si>
    <t>D.92+D.99</t>
  </si>
  <si>
    <t>Čisté pôžičky poskytnuté / prijaté</t>
  </si>
  <si>
    <t>11. Jednorázové opatrenia na príjmovej strane</t>
  </si>
  <si>
    <t>12. Jednorázové opatrenia na výdavkovej strane</t>
  </si>
  <si>
    <t>13. Metodické úpravy</t>
  </si>
  <si>
    <t>Impact of fiscal policy on GDP</t>
  </si>
  <si>
    <t>ESA kód</t>
  </si>
  <si>
    <t>Rozpočet VS (1)</t>
  </si>
  <si>
    <t>Analyticky upravený rozpočet (2)</t>
  </si>
  <si>
    <t>OS*  (3)</t>
  </si>
  <si>
    <t xml:space="preserve"> Skutočná zmena jednotlivých položiek(3)-(2)</t>
  </si>
  <si>
    <t>Spolu výdavky (D.1P, P.2, D.7P)</t>
  </si>
  <si>
    <t>Kompenzácie</t>
  </si>
  <si>
    <t>D.1P</t>
  </si>
  <si>
    <t>z toho rezerva na kompenzácie</t>
  </si>
  <si>
    <t>D.7P</t>
  </si>
  <si>
    <t>Rezervy spolu spolu</t>
  </si>
  <si>
    <t>* očistená o vplyv JAVYSu</t>
  </si>
  <si>
    <t>SP 2017-2020</t>
  </si>
  <si>
    <t>SP 2016-2019</t>
  </si>
  <si>
    <t>GRAF 9 – Beveridgova krivka</t>
  </si>
  <si>
    <t>GRAF 11 - Externé nerovnováhy – zložky salda BÚ PB (% HDP)</t>
  </si>
  <si>
    <t>FIGURE 11 - External imbalances - CAB components (% of GDP)</t>
  </si>
  <si>
    <t>GRAF 12 - Štruktúra spotrebiteľskej inflácie – medziročné príspevky zložiek CPI (p. b.)</t>
  </si>
  <si>
    <t xml:space="preserve">GRAF 13 – Vplyv novej výroby a investícií VW a JLR na rast slovenskej ekonomiky  </t>
  </si>
  <si>
    <t>FIGURE 13 – Impact of new production and investment of VW and JLR on Slovak economy</t>
  </si>
  <si>
    <t>GRAF 14 - Príspevky k rastu HDP (p. b.)</t>
  </si>
  <si>
    <t xml:space="preserve">GRAF 15 – Príspevky k rastu zamestnanosti (p. b.) </t>
  </si>
  <si>
    <t>FIGURE 14 - Contributions to GDP growth (pp)</t>
  </si>
  <si>
    <t>FIGURE 15 – Contributions to employment growth (pp)</t>
  </si>
  <si>
    <t>GRAF 16 - Externé nerovnováhy – zložky salda BÚ PB (% HDP)</t>
  </si>
  <si>
    <t>FIGURE 16 - External imbalances - CAB components (% of GDP)</t>
  </si>
  <si>
    <t>GRAF 17 - Štruktúra spotrebiteľskej inflácie – medziročné príspevky zložiek k CPI (v p. b.)</t>
  </si>
  <si>
    <t>FIGURE 17 - Structure of consumer inflation - contributions of components (pp)</t>
  </si>
  <si>
    <t>FIGURE 18 - Contribution of production factors to potential growth (pp) – COM approach</t>
  </si>
  <si>
    <t xml:space="preserve">GRAF 19 - Vývoj produkčnej medzery (% potenciálneho HDP) – prístup EK  </t>
  </si>
  <si>
    <t>FIGURE 19 - Output gap (% of pot. output) - COM approach</t>
  </si>
  <si>
    <t>GRAF 20 - Príspevky výrobných faktorov k rastu potenciálneho produktu (p. b.) – prístup MF SR</t>
  </si>
  <si>
    <t>FIGURE 20 - Contribution of production factors to potential growth (pp) – MFSR approach</t>
  </si>
  <si>
    <t xml:space="preserve">GRAF 21 - Vývoj produkčnej medzery (% potenciálneho HDP) – prístup MF SR                </t>
  </si>
  <si>
    <t>FIGURE 21 - Output gap (% of pot. output) - MFSR approach</t>
  </si>
  <si>
    <t>FIGURE 22 - Consolidation effort (% GDP)</t>
  </si>
  <si>
    <t>FIGURE 23 - Gross general government debt (% GDP)</t>
  </si>
  <si>
    <t>GRAF 24 -Opis vývoja salda VS na základe hlavných príjmových a výdavkových položiek v roku 2016  (ESA 2010), príspevky v mil. eur</t>
  </si>
  <si>
    <t>FIGURE 24 - Analytical description of GG balance development in 2015 (ESA 2010), contributions in EUR mil.</t>
  </si>
  <si>
    <t>GRAF 27 - Opis vývoja salda VS na základe hlavných príjmových a výdavkových položiek v roku 2017  (ESA 2010), príspevky v mil. eur</t>
  </si>
  <si>
    <t>FIGURE 27 - Analytical description of GG balance development in 2017 (ESA 2010), contributions in EUR mil.</t>
  </si>
  <si>
    <t>TABUĽKA 11 - Analytický pohľad na rezervy v rozpočte verejnej správy v roku 2017 v mil. eur</t>
  </si>
  <si>
    <t>TABUĽKA 12 - Zmena fiškálnych cieľov (t.j. nominálne deficity) verejnej správy (% HDP) </t>
  </si>
  <si>
    <t>TABLE 12 - Change of fiscal targets (headline deficits) of public sector (% GDP) </t>
  </si>
  <si>
    <t>TABUĽKA 13 - Celková potreba opatrení na dosiahnutie fiškálnych cieľov voči NPC (ESA2010, % HDP)</t>
  </si>
  <si>
    <t>TABLE 13 - Overall consolidation need to achieve the fiscal targets compared to NPC (ESA2010, % of GDP)</t>
  </si>
  <si>
    <t>TABUĽKA 16 - Zoznam jednorazových opatrení v roku 2017 pre potreby NPC (ESA 2010, mil. eur)</t>
  </si>
  <si>
    <t>TABLE 16 - The list of one-off measures in 2017 for the needs of NPC (ESA 2010, EUR mil.)</t>
  </si>
  <si>
    <t>TABLE 17 - No-policy-change scenario and general government balance (ESA2010, % of GDP)</t>
  </si>
  <si>
    <t>GRAF 28 - Vplyv fiškálnej politiky na HDP (% HDP)</t>
  </si>
  <si>
    <t>FIGURE 28 - Impacts of fiscal policy on GDP (% GDP)</t>
  </si>
  <si>
    <t>FIGURE 29 - Implied fiscal multipliers</t>
  </si>
  <si>
    <t>GRAF 29 - Implikované fiškálne multiplikátory</t>
  </si>
  <si>
    <t>TABUĽKA 19 - Primárne štrukturálne saldo v metodike EK (% HDP)</t>
  </si>
  <si>
    <t>Primárne štrukturálne saldo</t>
  </si>
  <si>
    <t>Produkčná medzera</t>
  </si>
  <si>
    <t>Limit odchýlky na 1r. horizonte</t>
  </si>
  <si>
    <t>Limit odchýlky na 2r. horizonte</t>
  </si>
  <si>
    <t>1y deviation limit</t>
  </si>
  <si>
    <t>2y deviation limit</t>
  </si>
  <si>
    <t>GRAF 32 - Jednoročná a dvojročná odchýlka od plnenia výdavkového pravidla (% HDP)</t>
  </si>
  <si>
    <t>TABLE 20 - Gross general government debt (% GDP, as of 31.12.) </t>
  </si>
  <si>
    <t xml:space="preserve">TABLE 21  - Impact on the general government gross debt change (EUR mil.) </t>
  </si>
  <si>
    <t xml:space="preserve">FIGURE 33 - Contributions of factors to the debt change (% of GDP) </t>
  </si>
  <si>
    <t>TABUĽKA 22 - Zosúladenie dlhu a deficitu (% HDP)</t>
  </si>
  <si>
    <t>Zosúladenie dlhu a deficitu</t>
  </si>
  <si>
    <t>1. Rozdiel medzi hotovostnými a akruálnymi údajmi</t>
  </si>
  <si>
    <t>2. Zmena stavu finančných aktív</t>
  </si>
  <si>
    <t>Zmena hotovosti VS</t>
  </si>
  <si>
    <t>ESM</t>
  </si>
  <si>
    <t>EFSF</t>
  </si>
  <si>
    <t>Zmena iných aktív (stav pohľadávok)</t>
  </si>
  <si>
    <t>3. Diskont pri emisii dlhopisov</t>
  </si>
  <si>
    <t>4. Diskont pri splácaní dlhopisov</t>
  </si>
  <si>
    <t xml:space="preserve">5. Ostatné </t>
  </si>
  <si>
    <t xml:space="preserve">                                  Zdroj: MF SR</t>
  </si>
  <si>
    <t xml:space="preserve">GRAF 34 - Čistý dlh (% HDP) </t>
  </si>
  <si>
    <t xml:space="preserve">FIGURE 34 - Net debt (% GDP) </t>
  </si>
  <si>
    <t>GRAF 35 - Stochastická prognóza hrubého dlhu VS (% HDP)</t>
  </si>
  <si>
    <t>GRAF 36 - Hotovostná rezerva (počet mesiacov výdavkov štátu pokrytých z rezervy)</t>
  </si>
  <si>
    <t>FIGURE 36 - Cash reserve (number of months of state expenditures covered by the reserve)</t>
  </si>
  <si>
    <t xml:space="preserve">TABUĽKA 23 - Scenár 1: Spomalenie rastu zahraničného dopytu o 1 p.b. v rokoch 2017-2020 </t>
  </si>
  <si>
    <t xml:space="preserve">TABLE 23 - Scenario 1: Slowdown of foreign demand growth  by 1 p.p. in years 2017-2020 
</t>
  </si>
  <si>
    <t>TABUĽKA 24 - Scenár 2: Nárast krátkodobých a dlhodobých úrokových sadzieb o 1 p.b. na celej prognóze</t>
  </si>
  <si>
    <t>TABLE 24 - Scenario 2: Increase in short-term and long-term interest rates by 1 p.p. in the entire forecast</t>
  </si>
  <si>
    <t>TABUĽKA 26 - Scenár 3: Rýchlejší rast investícií o 1 p.b. každoročne v horizonte 2017 - 2020</t>
  </si>
  <si>
    <t>TABLE 26 - Scenario 3: Faster annual growth of investments by 1 p.p. in 2017 - 2020</t>
  </si>
  <si>
    <t>TABUĽKA 27 - Porovnanie predchádzajúcej a aktualizovanej prognózy</t>
  </si>
  <si>
    <t>TABLE 27 – Comparison of the previous and updated forecasts</t>
  </si>
  <si>
    <t>TABUĽKA 30 - Predpoklady pre výpočet indikátorov udržateľnosti</t>
  </si>
  <si>
    <t>TABLE 30 - Assumptions used in the calculation of sustainability indicators</t>
  </si>
  <si>
    <t>TABUĽKA 31 - Ukazovatele udržateľnosti S1 a S2 (% HDP) </t>
  </si>
  <si>
    <t>TABLE 31 - Sustainability indicators S1 and S2 (% GDP) </t>
  </si>
  <si>
    <t>Functions of the Government</t>
  </si>
  <si>
    <t>COFOG Code</t>
  </si>
  <si>
    <t>1. General public services</t>
  </si>
  <si>
    <t>2. Defense</t>
  </si>
  <si>
    <t>3. Public order and safety</t>
  </si>
  <si>
    <t xml:space="preserve">4. Economic affairs </t>
  </si>
  <si>
    <t>5. Environmental protection</t>
  </si>
  <si>
    <t>6. housing and community amenities</t>
  </si>
  <si>
    <t>7. Health</t>
  </si>
  <si>
    <t>8. Recreation, culture  and religion</t>
  </si>
  <si>
    <t>9. Education</t>
  </si>
  <si>
    <t>10. Social protection</t>
  </si>
  <si>
    <t xml:space="preserve">11. Total Expenditure </t>
  </si>
  <si>
    <t>Funkcie</t>
  </si>
  <si>
    <t>COFOG kód</t>
  </si>
  <si>
    <t>SK 2017 (vRVS)</t>
  </si>
  <si>
    <t>SK 2017 (OS)</t>
  </si>
  <si>
    <t>V3 2015</t>
  </si>
  <si>
    <t>EU28 2015</t>
  </si>
  <si>
    <t>% CVVS</t>
  </si>
  <si>
    <t>1. Všeobecné verejné služby</t>
  </si>
  <si>
    <t>2. Obrana</t>
  </si>
  <si>
    <t>3. Verejný poriadok a bezpečnosť</t>
  </si>
  <si>
    <t>4. Ekonomická oblasť</t>
  </si>
  <si>
    <t>5. Ochrana životného prostredia</t>
  </si>
  <si>
    <t>6. Bývanie a občianska vybavenosť</t>
  </si>
  <si>
    <t>7. Zdravotníctvo</t>
  </si>
  <si>
    <t>8. Rekreácia, kultúra a náboženstvo</t>
  </si>
  <si>
    <t>9. Vzdelávanie</t>
  </si>
  <si>
    <t>10. Sociálne zabezpečenie</t>
  </si>
  <si>
    <t>Celkové výdavky</t>
  </si>
  <si>
    <t>Pozn.: Metodika zaznamenávania výdavkov podľa funkčnej klasifikácie sa môže medzi jednotlivými krajinami líšiť. Toto môže spôsobiť, že v rámci rovnakej položky vystupujú v rôznych krajinách odlišné dáta (napr. zdaňované a nezdaňované dôchodky). Klasifikácia COFOG tiež nezohľadňuje výdavky realizované cez daňový systém (napr. daňové bonusy). CVVS – Celkové výdavky verejnej správy</t>
  </si>
  <si>
    <t>Zdroj: MF SR, Eurostat</t>
  </si>
  <si>
    <t>8. Recreation, culture  and religion</t>
  </si>
  <si>
    <t xml:space="preserve">Total Expenditure </t>
  </si>
  <si>
    <t>p. b. HDP 2017</t>
  </si>
  <si>
    <t>p. b. HDP 2018</t>
  </si>
  <si>
    <t xml:space="preserve"> Sociálne zabezpečenie</t>
  </si>
  <si>
    <t xml:space="preserve"> Vzdelávanie</t>
  </si>
  <si>
    <t xml:space="preserve"> Rekreácia, kultúra a náboženstvo</t>
  </si>
  <si>
    <t xml:space="preserve"> Zdravotníctvo</t>
  </si>
  <si>
    <t xml:space="preserve"> Bývanie a občianska vybavenosť</t>
  </si>
  <si>
    <t xml:space="preserve"> Ochrana životného prostredia</t>
  </si>
  <si>
    <t xml:space="preserve"> Ekonomická oblasť</t>
  </si>
  <si>
    <t xml:space="preserve"> Verejný poriadok a bezpečnosť</t>
  </si>
  <si>
    <t>Obrana</t>
  </si>
  <si>
    <t xml:space="preserve"> Všeobecné verejné služby</t>
  </si>
  <si>
    <t>UNIT</t>
  </si>
  <si>
    <t>Percentage of gross domestic product (GDP)</t>
  </si>
  <si>
    <t>SECTOR</t>
  </si>
  <si>
    <t>General government</t>
  </si>
  <si>
    <t>NA_ITEM</t>
  </si>
  <si>
    <t>GEO/TIME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</si>
  <si>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</si>
  <si>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</si>
  <si>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</si>
  <si>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</si>
  <si>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</si>
  <si>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</si>
  <si>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</si>
  <si>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</si>
  <si>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</si>
  <si>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</si>
  <si>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EA 19</t>
  </si>
  <si>
    <t>Czech Republic</t>
  </si>
  <si>
    <t>SK</t>
  </si>
  <si>
    <t>V3</t>
  </si>
  <si>
    <t>Gross fixed capital formation</t>
  </si>
  <si>
    <t>P.51G</t>
  </si>
  <si>
    <t>Total general government expenditure</t>
  </si>
  <si>
    <t>SK 2018 (FR)</t>
  </si>
  <si>
    <t>Zmena OS - RVS 2017</t>
  </si>
  <si>
    <t>Difference E 2017 - B 2017</t>
  </si>
  <si>
    <t>Difference E 2018 - E 2017</t>
  </si>
  <si>
    <t>GDP percentage points</t>
  </si>
  <si>
    <t>Function</t>
  </si>
  <si>
    <t>COFOG code</t>
  </si>
  <si>
    <t>SK 2017 (E)</t>
  </si>
  <si>
    <t>% GDP</t>
  </si>
  <si>
    <t>% TE</t>
  </si>
  <si>
    <t>Štát</t>
  </si>
  <si>
    <t>Česko</t>
  </si>
  <si>
    <t>Jednotka</t>
  </si>
  <si>
    <t>SEKTOR</t>
  </si>
  <si>
    <t>Položka</t>
  </si>
  <si>
    <t>Verejná správa</t>
  </si>
  <si>
    <t>Tvroba hrubého fixného kapitálu</t>
  </si>
  <si>
    <t>GDP 2016</t>
  </si>
  <si>
    <t>Celkové verejné výdavky</t>
  </si>
  <si>
    <t>6. Housing and community amenities</t>
  </si>
  <si>
    <t>CVV</t>
  </si>
  <si>
    <t>HDP 2016</t>
  </si>
  <si>
    <t>GRAF 54: Vývoj výdavkov VS (% HDP)</t>
  </si>
  <si>
    <t>GRAF 55: Vývoj kapitálových výdavkov VS (% HDP)</t>
  </si>
  <si>
    <t>Figure 54: General government expenditure (% GDP)</t>
  </si>
  <si>
    <t>Figure 55: Gross fixed capital formation (% GDP)</t>
  </si>
  <si>
    <t>GRAF 56: Porovnanie výdavkov verejnej správy podľa klasifikácie COFOG (zmeny v p. b. HDP)</t>
  </si>
  <si>
    <t>Figure 56: Total general government expenditure under COFOG (differences in GDP percentage points)</t>
  </si>
  <si>
    <t>Vyrovnanie vdovských</t>
  </si>
  <si>
    <t>Vyrovnanie vdoveckých</t>
  </si>
  <si>
    <t>Kumulatívne</t>
  </si>
  <si>
    <t>Zvyšovanie dôchodkového veku</t>
  </si>
  <si>
    <t xml:space="preserve">Spolu </t>
  </si>
  <si>
    <t>TABUĽKA 29 - Prijaté a zvažované opatrenia dôchodkového systému po reforme v roku 2012 (mil. eur)</t>
  </si>
  <si>
    <t>TABUĽKA 28 - Pomalší rast výdavkov na dôchodky z titulu dôchodkovej reformy v roku 2012 (mil. eur)</t>
  </si>
  <si>
    <t>Table 28 - Slower pension expenditure growth due to pension reform legislated in 2012 (mil. euro)</t>
  </si>
  <si>
    <t>Linking retirement age to life expectancy</t>
  </si>
  <si>
    <t>Cumulative</t>
  </si>
  <si>
    <t>Measure</t>
  </si>
  <si>
    <t>Table 29 - Pension system measures, legislated and considered after the 2012 reform (mil. euro)</t>
  </si>
  <si>
    <t>Increase of Cristmas bonus</t>
  </si>
  <si>
    <t>Minimum pension</t>
  </si>
  <si>
    <t>Widow pension equalisation of eligibility criteria</t>
  </si>
  <si>
    <t>Widower pension equalisation of eligibility criteria</t>
  </si>
  <si>
    <t>Indexation increase in 2017</t>
  </si>
  <si>
    <t>Recalculation of pensions received before 2004</t>
  </si>
  <si>
    <t>GRAF 25 - Príspevky k zmene odhadu daňových príjmov 2016 oproti rozpočtu (mil. eur)</t>
  </si>
  <si>
    <t>GRAF 26 - Príspevky k zmene odhadu daňových príjmov 2016 oproti rozpočtu (mil. eur)</t>
  </si>
  <si>
    <t>vplyv makra</t>
  </si>
  <si>
    <t>vplyv levelu (chyba prognózy)</t>
  </si>
  <si>
    <t>vplyv novej legislatívy (len dane IFP)</t>
  </si>
  <si>
    <t>vplyv jednorázových faktorov</t>
  </si>
  <si>
    <t>celkom</t>
  </si>
  <si>
    <t>Príspevky k zmene odhadu daňových príjmov 2016 oproti rozpočtu (mil. eur)</t>
  </si>
  <si>
    <t xml:space="preserve">makro </t>
  </si>
  <si>
    <t>EDS</t>
  </si>
  <si>
    <t>nová legislatíva</t>
  </si>
  <si>
    <t>jednorazové faktory</t>
  </si>
  <si>
    <t>rozpočtové rezervy</t>
  </si>
  <si>
    <t>DPFO</t>
  </si>
  <si>
    <t>DPPO</t>
  </si>
  <si>
    <t>DPH</t>
  </si>
  <si>
    <t>SD</t>
  </si>
  <si>
    <t>SO</t>
  </si>
  <si>
    <t>ZO</t>
  </si>
  <si>
    <t>Ostatné</t>
  </si>
  <si>
    <t>PIT</t>
  </si>
  <si>
    <t>CIT</t>
  </si>
  <si>
    <t>VAT</t>
  </si>
  <si>
    <t>Excises</t>
  </si>
  <si>
    <t>SC</t>
  </si>
  <si>
    <t>HC</t>
  </si>
  <si>
    <t>Level / ETR</t>
  </si>
  <si>
    <t>Legislation</t>
  </si>
  <si>
    <t>One offs</t>
  </si>
  <si>
    <t>Macroeconomic contributions</t>
  </si>
  <si>
    <t>New legislation contributions</t>
  </si>
  <si>
    <t>Figure 25 - Change of 2016 GG revenue forecast compared to budget  (EUR million)</t>
  </si>
  <si>
    <t>Figure 26 - Change of 2016 GG revenue forecast compared to budget  (EUR million)</t>
  </si>
  <si>
    <t>Change of 2016 GG revenue forecast compared to budget  (EUR million)</t>
  </si>
  <si>
    <t>Budgeted reserves</t>
  </si>
  <si>
    <t>TABUĽKA 15 - Legislatívne zmeny nepovažované za opatrenia pre účely NPC (% HDP)</t>
  </si>
  <si>
    <t>TABLE 15 - Legislation changes not included in Non Policy Scenario (% of GDP)</t>
  </si>
  <si>
    <t>2)  Increase of ceilings for social contributions to 7 times average wage</t>
  </si>
  <si>
    <t>1)   Zrušenie MVZ pre zdravotné poistenie</t>
  </si>
  <si>
    <t>2)   Zvýšenie MVZ na 7 násobok priemernej mzdy pre sociálne poistenie</t>
  </si>
  <si>
    <t>3)   Zrušenie daňovej licencie od 1.1.2018</t>
  </si>
  <si>
    <t>1)   Abolition of ceilings for health contributions</t>
  </si>
  <si>
    <t>3)   Abolition of tax license as of 1.1.2018</t>
  </si>
  <si>
    <t>Priemer eurozóny (19 krajín)</t>
  </si>
  <si>
    <t>V4 bez SR</t>
  </si>
  <si>
    <t>CR</t>
  </si>
  <si>
    <t>PL</t>
  </si>
  <si>
    <t>HU</t>
  </si>
  <si>
    <t>GRAF 44 - Porovnanie vývoja príjmov VS (% HDP)</t>
  </si>
  <si>
    <t>Vývoj príjmov verejnej správy (% HDP)</t>
  </si>
  <si>
    <t>Figure 44 - Revenues of general government (% of GDP)</t>
  </si>
  <si>
    <t>Revenues of general government (% of GDP)</t>
  </si>
  <si>
    <t>Euro area average (19 countries)</t>
  </si>
  <si>
    <t>V4 without SK</t>
  </si>
  <si>
    <t>GRAF 45 - Porovnanie vývoja daní a odvodov VS (% HDP)</t>
  </si>
  <si>
    <t>Daňové a odvodové príjmyy verejnej správy</t>
  </si>
  <si>
    <t>Total tax revenues of general government (% of GDP)</t>
  </si>
  <si>
    <t>GRAF 45 - Total tax revenues of general government (% of GDP)</t>
  </si>
  <si>
    <t>Sociálna poisťovňa (EAO+dlžné)</t>
  </si>
  <si>
    <t>Zdravotné poisťovne (EAO+dlžné)</t>
  </si>
  <si>
    <t>Daň z pridanej hodnoty</t>
  </si>
  <si>
    <t>Ostatné dane</t>
  </si>
  <si>
    <t>Daň z príjmu právnických osôb</t>
  </si>
  <si>
    <t>Daň z príjmu fyzických osôb</t>
  </si>
  <si>
    <t>Spotrebné dane</t>
  </si>
  <si>
    <t>GRAF 46 - Podiel daní na HDP (% HDP)</t>
  </si>
  <si>
    <t>Podiel daní na HDP (% HDP)</t>
  </si>
  <si>
    <t>Figure 46 - Tax to GDP ratio (% of GDP)</t>
  </si>
  <si>
    <t>Tax to GDP ratio (% of GDP)</t>
  </si>
  <si>
    <t>Value added tax</t>
  </si>
  <si>
    <t>Other taxes</t>
  </si>
  <si>
    <t>Social contributions (EAP+outstanding)</t>
  </si>
  <si>
    <t>Corporate income tax</t>
  </si>
  <si>
    <t>Personal income tax</t>
  </si>
  <si>
    <t>Excise duties</t>
  </si>
  <si>
    <t>Health contributions (EAP+outstanding)</t>
  </si>
  <si>
    <t xml:space="preserve">GRAF 47 - Daňový mix podľa vplyvu jednotlivých daní na potenciál ekonomiky (% z daňových príjmov) </t>
  </si>
  <si>
    <t>CZ</t>
  </si>
  <si>
    <t>SR</t>
  </si>
  <si>
    <t>less distorting taxes</t>
  </si>
  <si>
    <t>more distorting taxes</t>
  </si>
  <si>
    <t>Daňový mix podľa vplyvu jednotlivých daní na potenciál ekonomiky (% z daňových príjmov)</t>
  </si>
  <si>
    <t>menej škodlivé</t>
  </si>
  <si>
    <t>viac škodlivé</t>
  </si>
  <si>
    <t xml:space="preserve">Figure 47 - Tax mix according to influence of taxes on potenial growth (% of tax revenues) </t>
  </si>
  <si>
    <t xml:space="preserve">Tax mix according to influence of taxes on potenial growth (% of tax revenues) </t>
  </si>
  <si>
    <t>Daň</t>
  </si>
  <si>
    <t>Odvody zamestnanca</t>
  </si>
  <si>
    <t>Odvody zamestnávateľa</t>
  </si>
  <si>
    <t>EU28</t>
  </si>
  <si>
    <t>SK_17</t>
  </si>
  <si>
    <t>SK_16</t>
  </si>
  <si>
    <t>100% priemernej mzdy</t>
  </si>
  <si>
    <t>50% priemernej mzdy</t>
  </si>
  <si>
    <t>GRAF 49 - Daňový klin, jednotlivec, príjem 50% a 100% priemernej mzdy v roku 2016 (v % nákladov práce)</t>
  </si>
  <si>
    <t>Daňový klin, jednotlivec, príjem 50% a 100% priemernej mzdy v roku 2016 (v % nákladov práce)</t>
  </si>
  <si>
    <t>Figure 49 - Tax wedge, single worker, income at 50% and 100% of average wage in 2016 (in % of labour costs)</t>
  </si>
  <si>
    <t>Tax wedge, single worker, income at 50% and 100% of average wage in 2016 (in % of labour costs)</t>
  </si>
  <si>
    <t>Tax</t>
  </si>
  <si>
    <t>Contributions of employee</t>
  </si>
  <si>
    <t>Contributions of employer</t>
  </si>
  <si>
    <t>100% of average wage</t>
  </si>
  <si>
    <t>50% of average wage</t>
  </si>
  <si>
    <t>IR</t>
  </si>
  <si>
    <t>NL</t>
  </si>
  <si>
    <t>FR</t>
  </si>
  <si>
    <t>GB</t>
  </si>
  <si>
    <t>IT</t>
  </si>
  <si>
    <t>PT</t>
  </si>
  <si>
    <t>AT</t>
  </si>
  <si>
    <t>SE</t>
  </si>
  <si>
    <t>BE</t>
  </si>
  <si>
    <t>LU</t>
  </si>
  <si>
    <t>FI</t>
  </si>
  <si>
    <t>ES</t>
  </si>
  <si>
    <t>SI</t>
  </si>
  <si>
    <t>GR</t>
  </si>
  <si>
    <t>IS</t>
  </si>
  <si>
    <t>SK_2016</t>
  </si>
  <si>
    <t>SK_2017</t>
  </si>
  <si>
    <t>EE</t>
  </si>
  <si>
    <t>Priemer EU krajín v OECD</t>
  </si>
  <si>
    <t>Priemer krajín V4 bez SK</t>
  </si>
  <si>
    <t>GRAF 48 - Efektívne zdanenie dividend v EÚ (2016, 2017-SK, %)</t>
  </si>
  <si>
    <t>Efektívne zdanenie dividend v EÚ (2016, 2017-SK, %)</t>
  </si>
  <si>
    <t>Figure 48 - Effective taxation of dividends in EU (2016, 2017-SK, %)</t>
  </si>
  <si>
    <t>Effective taxation of dividends in EU (2016, 2017-SK, %)</t>
  </si>
  <si>
    <t>Average of EU countries in OECD</t>
  </si>
  <si>
    <t>Average of V4 countries without SK</t>
  </si>
  <si>
    <t>GRAF 50 - Daňová medzera na DPH (% potenciálneho výnosu)</t>
  </si>
  <si>
    <t>daňová medzera na DPH</t>
  </si>
  <si>
    <t>Daňová medzera na DPH (% potenciálneho výnosu)</t>
  </si>
  <si>
    <t>Figure 50 - VAT GAP (% of theoretical liability)</t>
  </si>
  <si>
    <t>VAT GAP (% of theoretical liability)</t>
  </si>
  <si>
    <t>VAT GAP</t>
  </si>
  <si>
    <t>GRAF 51 - Indikátor efektivity výberu DPH  (v %)</t>
  </si>
  <si>
    <t>Indikátor efektivity výberu DPH  (v %)</t>
  </si>
  <si>
    <t>priemer eurozóny (19 krajín)</t>
  </si>
  <si>
    <t>V4 bez SK</t>
  </si>
  <si>
    <t>Figure 51 - Indicator of VAT collection efficiency  (%)</t>
  </si>
  <si>
    <t>euro area (19 countries)</t>
  </si>
  <si>
    <t>GRAF 52 - Efektívna daňová sadzba DPPO (výber dane na čistom prevádzkovom prebytku)</t>
  </si>
  <si>
    <t>EDS DPPO</t>
  </si>
  <si>
    <t>Efektívna daňová sadzba DPPO (výber dane na čistom prevádzkovom prebytku)</t>
  </si>
  <si>
    <t>Figure 52 - CIT effective tax rate (tax revenues divided by net operating surplus)</t>
  </si>
  <si>
    <t>CIT effective tax rate (tax revenues divided by net operating surplus)</t>
  </si>
  <si>
    <t>ETR CIT</t>
  </si>
  <si>
    <t>VAT gap</t>
  </si>
  <si>
    <t>CIT base gap</t>
  </si>
  <si>
    <t>GRAF 53 - Porovnanie vývoja daňovej medzery na DPH a DPPO  (% potenciálneho výnosu)</t>
  </si>
  <si>
    <t>Porovnanie vývoja daňovej medzery na DPH a DPPO  (% potenciálneho výnosu)</t>
  </si>
  <si>
    <t>medzera DPH</t>
  </si>
  <si>
    <t>DPPO medzera základne</t>
  </si>
  <si>
    <t>Figure 53 - Comparison of VAT gap and CIT tax base gap (% of theoretical liability/base)</t>
  </si>
  <si>
    <t>Comparison of VAT gap and CIT tax base gap (% of theoretical liability/base)</t>
  </si>
  <si>
    <t>Nižšia indexácia (oproti švajčiarskemu modelu indexácie)</t>
  </si>
  <si>
    <t>Lower indexation (compared with Swiss idexation model)</t>
  </si>
  <si>
    <t>Zvýšenie tzv. vianočného dôchodku</t>
  </si>
  <si>
    <t>Minimálny dôchodkoch</t>
  </si>
  <si>
    <t>Vyššia indexácia penzií v roku 2017</t>
  </si>
  <si>
    <t>Prepočítanie penzií starodôchodcov spred 2004 (verzia z MPK z marca 2017)</t>
  </si>
  <si>
    <t>Scenár bez zmien</t>
  </si>
  <si>
    <t>Baseline scenario</t>
  </si>
  <si>
    <t>Rekonštrukcie a zlepšenie efektivity</t>
  </si>
  <si>
    <t>Reconstruction and efficiency improvements</t>
  </si>
  <si>
    <t>Nová nemocnica</t>
  </si>
  <si>
    <t>Štátny manažment</t>
  </si>
  <si>
    <t>New hospital</t>
  </si>
  <si>
    <t>Public management</t>
  </si>
  <si>
    <t>PPP</t>
  </si>
  <si>
    <t>Hybridný manažment</t>
  </si>
  <si>
    <t>Hybrid management</t>
  </si>
  <si>
    <t>TABUĽKA 25 - Úspora úrokových nákladov oproti scenáru bez kvantitatívneho uvoľňovania</t>
  </si>
  <si>
    <t>Suma</t>
  </si>
  <si>
    <t>Úspora na úrokových nákladoch (v mil. eur)</t>
  </si>
  <si>
    <t>Úspora na úrokových nákladoch (% HDP)</t>
  </si>
  <si>
    <t>TABLE 25 - Borrowing cost saving to scenario without quantitative easing</t>
  </si>
  <si>
    <t>Saving of borrowing costs (% HDP)</t>
  </si>
  <si>
    <t>Saving of borrowing costs (in mil. eur)</t>
  </si>
  <si>
    <t>GRAF 37 - Porovnanie ročných priemerných syntetických a historických výnosov (%)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</si>
  <si>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</si>
  <si>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</si>
  <si>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</si>
  <si>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</si>
  <si>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</si>
  <si>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</si>
  <si>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</si>
  <si>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</si>
  <si>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</si>
  <si>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synth 2014</t>
  </si>
  <si>
    <t>synth 2015</t>
  </si>
  <si>
    <t>synth 2016</t>
  </si>
  <si>
    <t>actual 2014</t>
  </si>
  <si>
    <t>actual 2015</t>
  </si>
  <si>
    <t>actual 2016</t>
  </si>
  <si>
    <t>S1</t>
  </si>
  <si>
    <t>S2</t>
  </si>
  <si>
    <t>Hranica</t>
  </si>
  <si>
    <t>Opatrenia na zvýšenie úspešnosti výberu daní (ERP a farmafirmy)</t>
  </si>
  <si>
    <t>Odvodová odpočítateľná položka (aktualizované 2.2017)</t>
  </si>
  <si>
    <t>Zákon 222/2004 Z.z. o DPH, uvoľnenie podmienok pre vyplácanie NO do 30 dní</t>
  </si>
  <si>
    <t>DPH - zníženie sadzby na vybrané potraviny</t>
  </si>
  <si>
    <t>Zvýšenie počtu cigariet v balení z 19 na 20 (aktualizované 2.2017)</t>
  </si>
  <si>
    <t>Zdaňovanie cigár a cigariek podľa hmotnosti</t>
  </si>
  <si>
    <t>595/2003 a 580/2004 - podpora investovania na kapitálovom trhu</t>
  </si>
  <si>
    <t>Zvýšenie poplatku za správu ropných zásob</t>
  </si>
  <si>
    <t>DPPO zníženie sadzby na 21%</t>
  </si>
  <si>
    <t>Zdvojnásobenie sadzby OO v regulovaných odvetviach, úprava podmienok a výpočtu, pokles v 2019</t>
  </si>
  <si>
    <t>Zvýšenie spotrebnej dane z cigariet</t>
  </si>
  <si>
    <t>Ponechanie sadzby OO finančných inštitúcií na 0.2%</t>
  </si>
  <si>
    <t>Zdaňovanie dividend - 7% zrážková daň</t>
  </si>
  <si>
    <t>Ďalšie - urocenie zadrzanych NO, efektívnejšia správa daní</t>
  </si>
  <si>
    <t>DPFO - oslobodenie od DPPO príjmov Rady pre riešenie krízových situácii</t>
  </si>
  <si>
    <t>Nedaňové príjmy - hazard, osobitný režim zdanenia poisťovní</t>
  </si>
  <si>
    <t>Paušálne výdavky - 60%, max. 20 tis. Eur</t>
  </si>
  <si>
    <t>Zrušenie MVZ pre zdravotné poistenie</t>
  </si>
  <si>
    <t>Zvýšenie MVZ pre sociálne odvody z 5*AW na 7*AW</t>
  </si>
  <si>
    <t>Rast odvodu do II piliera (o 0,25 p.b. od 2017)</t>
  </si>
  <si>
    <t>Zrušenie daňovej licencie</t>
  </si>
  <si>
    <t>10. DRM</t>
  </si>
  <si>
    <t>11. One-off revenue measures</t>
  </si>
  <si>
    <t>12. One-off expenditure measures</t>
  </si>
  <si>
    <t>13. Methodical corrections</t>
  </si>
  <si>
    <t>Graf 1 + 2</t>
  </si>
  <si>
    <t xml:space="preserve">Tab 1 </t>
  </si>
  <si>
    <t>Graf 3+4</t>
  </si>
  <si>
    <t>Graf 5+6</t>
  </si>
  <si>
    <t>Grafy 7 a 8</t>
  </si>
  <si>
    <t xml:space="preserve">Graf 8,9,10 </t>
  </si>
  <si>
    <t xml:space="preserve">Graf 11+12 </t>
  </si>
  <si>
    <t xml:space="preserve">Tab 2 </t>
  </si>
  <si>
    <t xml:space="preserve">Tab 3 </t>
  </si>
  <si>
    <t xml:space="preserve">Tab 4 </t>
  </si>
  <si>
    <t xml:space="preserve">Graf 13 + Tab 5 </t>
  </si>
  <si>
    <t xml:space="preserve">Graf 14 + 15 </t>
  </si>
  <si>
    <t xml:space="preserve">Graf 16 + 17 </t>
  </si>
  <si>
    <t>Graf 18 + Tab 6</t>
  </si>
  <si>
    <t>Graf 19 + Tab 7</t>
  </si>
  <si>
    <t xml:space="preserve">Graf 20 + Tab 8 </t>
  </si>
  <si>
    <t xml:space="preserve">Graf 21  + Tab 9 </t>
  </si>
  <si>
    <t>Tab 10</t>
  </si>
  <si>
    <t xml:space="preserve">Graf 22 + 23 </t>
  </si>
  <si>
    <t>Graf 24</t>
  </si>
  <si>
    <t>Graf 25 + 26</t>
  </si>
  <si>
    <t>Graf 27</t>
  </si>
  <si>
    <t>Tab 11</t>
  </si>
  <si>
    <t>Tab 12</t>
  </si>
  <si>
    <t xml:space="preserve">Tab 13 </t>
  </si>
  <si>
    <t xml:space="preserve">Tab 14 </t>
  </si>
  <si>
    <t xml:space="preserve">Tab 15 </t>
  </si>
  <si>
    <t xml:space="preserve">Tab 16 </t>
  </si>
  <si>
    <t xml:space="preserve">Graf 28 + 29 </t>
  </si>
  <si>
    <t xml:space="preserve">Tab 18 </t>
  </si>
  <si>
    <t>Graf 30 + 31; tab 19</t>
  </si>
  <si>
    <t xml:space="preserve">Graf 32 </t>
  </si>
  <si>
    <t xml:space="preserve">Tab 20 </t>
  </si>
  <si>
    <t xml:space="preserve">Tab 21 </t>
  </si>
  <si>
    <t xml:space="preserve">Graf 33 </t>
  </si>
  <si>
    <t>Tab 22</t>
  </si>
  <si>
    <t xml:space="preserve">Graf 34 </t>
  </si>
  <si>
    <t xml:space="preserve">Graf  35 </t>
  </si>
  <si>
    <t xml:space="preserve">Graf 36 </t>
  </si>
  <si>
    <t xml:space="preserve">Tab 23 </t>
  </si>
  <si>
    <t xml:space="preserve">Tab 24 </t>
  </si>
  <si>
    <t>Graf 37 + Tab 25</t>
  </si>
  <si>
    <t xml:space="preserve">Tab 26 </t>
  </si>
  <si>
    <t xml:space="preserve">Tab 27 </t>
  </si>
  <si>
    <t>Tab 28 + 29</t>
  </si>
  <si>
    <t>Graf 38 + 39</t>
  </si>
  <si>
    <t>Tab 30</t>
  </si>
  <si>
    <t>Graf 40</t>
  </si>
  <si>
    <t>Graf 41</t>
  </si>
  <si>
    <t>Graf 42</t>
  </si>
  <si>
    <t>Graf 43</t>
  </si>
  <si>
    <t>Graf 44 + 45</t>
  </si>
  <si>
    <t>Graf 46 + 47</t>
  </si>
  <si>
    <t>Graf 48 + 49</t>
  </si>
  <si>
    <t>Graf 50 + 51</t>
  </si>
  <si>
    <t>Graf 52 + 53</t>
  </si>
  <si>
    <t>Graf 54 +55</t>
  </si>
  <si>
    <t>Graf 56</t>
  </si>
  <si>
    <t>Graf 57 + 58 + 59</t>
  </si>
  <si>
    <t>KAPITOLA 6</t>
  </si>
  <si>
    <t>PRÍLOHY</t>
  </si>
  <si>
    <t>Name of Institution</t>
  </si>
  <si>
    <t>SIFI INDEX</t>
  </si>
  <si>
    <t>Independent Authority for Fiscal Responsibility</t>
  </si>
  <si>
    <t>UK</t>
  </si>
  <si>
    <t>Office of Budget Responsibility</t>
  </si>
  <si>
    <t>BG</t>
  </si>
  <si>
    <t>Fiscal Council</t>
  </si>
  <si>
    <t>EL</t>
  </si>
  <si>
    <t>Hellenic Fiscal Council</t>
  </si>
  <si>
    <t>MT</t>
  </si>
  <si>
    <t>Malta Fiscal Council</t>
  </si>
  <si>
    <t>Public Finance Council</t>
  </si>
  <si>
    <t>RO</t>
  </si>
  <si>
    <t>Austrian Fiscal Advisory Council</t>
  </si>
  <si>
    <t>AT - FISK</t>
  </si>
  <si>
    <t>Parliamentary Budget Office</t>
  </si>
  <si>
    <t>IE</t>
  </si>
  <si>
    <t>Irish Fiscal Advisory Council</t>
  </si>
  <si>
    <t>Netherlands Bureau for Economic Policy Analysis</t>
  </si>
  <si>
    <t>NL - CPB</t>
  </si>
  <si>
    <t>DE</t>
  </si>
  <si>
    <t>Independent Advisory Board to the Stability Council</t>
  </si>
  <si>
    <t>Swedish Fiscal Policy Council</t>
  </si>
  <si>
    <t>Council for Budget Responsibility</t>
  </si>
  <si>
    <t>National Audit Office (Fiscal Policy Evaluation Function)</t>
  </si>
  <si>
    <t>CY</t>
  </si>
  <si>
    <t>HR</t>
  </si>
  <si>
    <t>Commission on Fiscal Policy</t>
  </si>
  <si>
    <t>Estonian Fiscal Council</t>
  </si>
  <si>
    <t>High Council of Public Finances</t>
  </si>
  <si>
    <t>LT</t>
  </si>
  <si>
    <t>National Audit Office (Budget Policy Monitoring Department)</t>
  </si>
  <si>
    <t>National Council of Public Finance</t>
  </si>
  <si>
    <t>LU - CNPF</t>
  </si>
  <si>
    <t>DK</t>
  </si>
  <si>
    <t>Danish Economic Council</t>
  </si>
  <si>
    <t>DK - D</t>
  </si>
  <si>
    <t>National Accounts Institute/ Federal Planning Bureau</t>
  </si>
  <si>
    <t>BE - NRI - ICN</t>
  </si>
  <si>
    <t>LV</t>
  </si>
  <si>
    <t>Fiscal Discipline Council</t>
  </si>
  <si>
    <t>High Council of Finance - Section "Public sector borrowing requirement"</t>
  </si>
  <si>
    <t>BE - HRF- CSF</t>
  </si>
  <si>
    <t>Fiscal Council of Hungary</t>
  </si>
  <si>
    <t>Austrian Institute of Economic Research</t>
  </si>
  <si>
    <t>AT - WIFO</t>
  </si>
  <si>
    <t>The Council of State – Advisory Division</t>
  </si>
  <si>
    <t>NL - RvS</t>
  </si>
  <si>
    <t>Institute of Macroeconomic Analysis and Development</t>
  </si>
  <si>
    <t>National Institute of statistics and economic studies of the Grand Duchy of Luxembourg</t>
  </si>
  <si>
    <t>NA</t>
  </si>
  <si>
    <t>Supreme Audit Office</t>
  </si>
  <si>
    <t>2013 old</t>
  </si>
  <si>
    <t>2014 old</t>
  </si>
  <si>
    <t>2015 old</t>
  </si>
  <si>
    <t>EU 28</t>
  </si>
  <si>
    <t>Medium term budgetary framework</t>
  </si>
  <si>
    <t>Fiscal rules index</t>
  </si>
  <si>
    <t>Country</t>
  </si>
  <si>
    <t>Average</t>
  </si>
  <si>
    <t>Zdroj: ÚPSVaR, MF SR</t>
  </si>
  <si>
    <t>Source: ÚPSVaR, MoF SR</t>
  </si>
  <si>
    <t xml:space="preserve">TABUĽKA 4 - Predpoklady investície a novej výroby VW </t>
  </si>
  <si>
    <r>
      <t xml:space="preserve">TABUĽKA 17 - Scenár nezmenených politík a bilancia verejnej správy </t>
    </r>
    <r>
      <rPr>
        <sz val="9"/>
        <color rgb="FF2C9ADC"/>
        <rFont val="Arial Narrow"/>
        <family val="2"/>
        <charset val="238"/>
      </rPr>
      <t>(ESA2010, % HDP)</t>
    </r>
  </si>
  <si>
    <t>Tab 17</t>
  </si>
  <si>
    <r>
      <t xml:space="preserve">TABUĽKA (Príloha 6)  -Výdavkové pravidlo </t>
    </r>
    <r>
      <rPr>
        <sz val="9"/>
        <color rgb="FF2C9ADC"/>
        <rFont val="Arial Narrow"/>
        <family val="2"/>
        <charset val="238"/>
      </rPr>
      <t>(ESA 2010)</t>
    </r>
  </si>
  <si>
    <r>
      <t>9.  Medziročná zmena primárneho výdavkového agregátu (8</t>
    </r>
    <r>
      <rPr>
        <vertAlign val="subscript"/>
        <sz val="9"/>
        <color rgb="FF000000"/>
        <rFont val="Arial Narrow"/>
        <family val="2"/>
        <charset val="238"/>
      </rPr>
      <t>t</t>
    </r>
    <r>
      <rPr>
        <sz val="9"/>
        <color rgb="FF000000"/>
        <rFont val="Arial Narrow"/>
        <family val="2"/>
        <charset val="238"/>
      </rPr>
      <t>-8</t>
    </r>
    <r>
      <rPr>
        <vertAlign val="subscript"/>
        <sz val="9"/>
        <color rgb="FF000000"/>
        <rFont val="Arial Narrow"/>
        <family val="2"/>
        <charset val="238"/>
      </rPr>
      <t>t-1</t>
    </r>
    <r>
      <rPr>
        <sz val="9"/>
        <color rgb="FF000000"/>
        <rFont val="Arial Narrow"/>
        <family val="2"/>
        <charset val="238"/>
      </rPr>
      <t>)</t>
    </r>
  </si>
  <si>
    <r>
      <t>11. Nominálny rast agregátu výdavkov očisteného o príjmové opatrenia ((8</t>
    </r>
    <r>
      <rPr>
        <vertAlign val="subscript"/>
        <sz val="9"/>
        <color theme="1"/>
        <rFont val="Arial Narrow"/>
        <family val="2"/>
        <charset val="238"/>
      </rPr>
      <t>t</t>
    </r>
    <r>
      <rPr>
        <sz val="9"/>
        <color theme="1"/>
        <rFont val="Arial Narrow"/>
        <family val="2"/>
        <charset val="238"/>
      </rPr>
      <t>-9</t>
    </r>
    <r>
      <rPr>
        <vertAlign val="subscript"/>
        <sz val="9"/>
        <color theme="1"/>
        <rFont val="Arial Narrow"/>
        <family val="2"/>
        <charset val="238"/>
      </rPr>
      <t>t</t>
    </r>
    <r>
      <rPr>
        <sz val="9"/>
        <color theme="1"/>
        <rFont val="Arial Narrow"/>
        <family val="2"/>
        <charset val="238"/>
      </rPr>
      <t>)/7</t>
    </r>
    <r>
      <rPr>
        <vertAlign val="subscript"/>
        <sz val="9"/>
        <color theme="1"/>
        <rFont val="Arial Narrow"/>
        <family val="2"/>
        <charset val="238"/>
      </rPr>
      <t>t-1</t>
    </r>
    <r>
      <rPr>
        <sz val="9"/>
        <color theme="1"/>
        <rFont val="Arial Narrow"/>
        <family val="2"/>
        <charset val="238"/>
      </rPr>
      <t>)</t>
    </r>
  </si>
  <si>
    <r>
      <t xml:space="preserve">TABLE (Annex 6) - Expenditure benchmark </t>
    </r>
    <r>
      <rPr>
        <sz val="9"/>
        <color rgb="FF2C9ADC"/>
        <rFont val="Arial Narrow"/>
        <family val="2"/>
        <charset val="238"/>
      </rPr>
      <t>(ESA 2010)</t>
    </r>
  </si>
  <si>
    <r>
      <t xml:space="preserve">Figure 32 - Expenditure benchmark deviation </t>
    </r>
    <r>
      <rPr>
        <sz val="9"/>
        <color rgb="FF2C9ADC"/>
        <rFont val="Arial Narrow"/>
        <family val="2"/>
        <charset val="238"/>
      </rPr>
      <t>(% GDP, ESA 2010)</t>
    </r>
  </si>
  <si>
    <t>Úrokové náklady VS (% HDP)</t>
  </si>
  <si>
    <t>-1,0 (-0,7)</t>
  </si>
  <si>
    <t>-0,6 (0,2)</t>
  </si>
  <si>
    <t>-0,1 (0,0)</t>
  </si>
  <si>
    <t>0,0 (0,0)</t>
  </si>
  <si>
    <t>0,0 (0,1)</t>
  </si>
  <si>
    <t>-0,6 (-0,5)</t>
  </si>
  <si>
    <t>-1,1 (-1,1)</t>
  </si>
  <si>
    <t>0,4 (0,4)</t>
  </si>
  <si>
    <t>0,2 (0,2)</t>
  </si>
  <si>
    <t>0,1 (0,1)</t>
  </si>
  <si>
    <t>2,6 (3,1)</t>
  </si>
  <si>
    <t>2,1 (2,2)</t>
  </si>
  <si>
    <t>0,7 (1,2)</t>
  </si>
  <si>
    <t>0,0 (0,2)</t>
  </si>
  <si>
    <t>0,8 (0,8)</t>
  </si>
  <si>
    <t>1,2 (1,1)</t>
  </si>
  <si>
    <t>1,5 (1,6)</t>
  </si>
  <si>
    <t>1,5 (1,5)</t>
  </si>
  <si>
    <t>-0,3 (-0,3)</t>
  </si>
  <si>
    <t>-0,1 (-0,1)</t>
  </si>
  <si>
    <t>-0,2 (-0,2)</t>
  </si>
  <si>
    <t>-1,1 (-0,1)</t>
  </si>
  <si>
    <t>-1,8 (-1,6)</t>
  </si>
  <si>
    <t>-0,1 (0,9)</t>
  </si>
  <si>
    <t>Tab 32: Výdavky verejnej správy podľa klasifikácie COFOG</t>
  </si>
  <si>
    <t>Table 32: General government expenditure under COFOG</t>
  </si>
  <si>
    <r>
      <t xml:space="preserve">TABUĽKA 33 - Diskrečné opatrenia </t>
    </r>
    <r>
      <rPr>
        <sz val="9"/>
        <color rgb="FF2C9ADC"/>
        <rFont val="Arial Narrow"/>
        <family val="2"/>
        <charset val="238"/>
      </rPr>
      <t>(mil. eur, ESA2010)</t>
    </r>
  </si>
  <si>
    <t>Tab 31</t>
  </si>
  <si>
    <t>Tab 32</t>
  </si>
  <si>
    <t>Interest payable (% HDP)</t>
  </si>
  <si>
    <t>Saldo VS (% HDP)</t>
  </si>
  <si>
    <t>Dlh VS (% HDP)</t>
  </si>
  <si>
    <t>GRAF 57/FIGURE 57 - Národné fiškálne pravidlá (index) / National fiscal rules (index)</t>
  </si>
  <si>
    <t>GRAF 58/FIGURE 58 - Strednodobé rozpočtové rámce (index) / Medium-term bugetary framework (index)</t>
  </si>
  <si>
    <t>GRAF 59/FIGURE 59 - Nezávislé fiškálne inštitúcie (index) / Scope of independent fiscal institutions (index)</t>
  </si>
  <si>
    <t>Borders</t>
  </si>
  <si>
    <t>Nízke riziko/ Low risk</t>
  </si>
  <si>
    <t>Stredné riziko/ Medium risk</t>
  </si>
  <si>
    <t>Vysoké riziko/ High risk</t>
  </si>
  <si>
    <r>
      <t xml:space="preserve">Hrubý dlh verejnej správy </t>
    </r>
    <r>
      <rPr>
        <sz val="9"/>
        <color rgb="FF2C9ADC"/>
        <rFont val="Arial Narrow"/>
        <family val="2"/>
        <charset val="238"/>
      </rPr>
      <t>(% HDP, stav k 31.12.)</t>
    </r>
    <r>
      <rPr>
        <b/>
        <sz val="9"/>
        <color rgb="FF2C9ADC"/>
        <rFont val="Arial Narrow"/>
        <family val="2"/>
        <charset val="238"/>
      </rPr>
      <t> </t>
    </r>
  </si>
  <si>
    <t>FIGURE 37 - Comparison of synthetic and historical yields</t>
  </si>
  <si>
    <t>(% GDP)</t>
  </si>
  <si>
    <r>
      <t xml:space="preserve">GRAF 33 Príspevky faktorov k zmene dlhu </t>
    </r>
    <r>
      <rPr>
        <sz val="9"/>
        <color theme="4"/>
        <rFont val="Arial Narrow"/>
        <family val="2"/>
        <charset val="238"/>
      </rPr>
      <t>(% HDP)</t>
    </r>
  </si>
  <si>
    <r>
      <t xml:space="preserve">TABUĽKA 21  - Vplyv na zmenu hrubého dlhu verejnej správy </t>
    </r>
    <r>
      <rPr>
        <sz val="9"/>
        <color rgb="FF2C9ADC"/>
        <rFont val="Arial Narrow"/>
        <family val="2"/>
        <charset val="238"/>
      </rPr>
      <t>(mil. eur)</t>
    </r>
    <r>
      <rPr>
        <b/>
        <sz val="9"/>
        <color rgb="FF2C9ADC"/>
        <rFont val="Arial Narrow"/>
        <family val="2"/>
        <charset val="238"/>
      </rPr>
      <t> </t>
    </r>
  </si>
  <si>
    <r>
      <t xml:space="preserve">TABUľKA 20 - Hrubý dlh verejnej správy </t>
    </r>
    <r>
      <rPr>
        <sz val="9"/>
        <color rgb="FF2C9ADC"/>
        <rFont val="Arial Narrow"/>
        <family val="2"/>
        <charset val="238"/>
      </rPr>
      <t>(% HDP, stav k 31.12.)</t>
    </r>
    <r>
      <rPr>
        <b/>
        <sz val="9"/>
        <color rgb="FF2C9ADC"/>
        <rFont val="Arial Narrow"/>
        <family val="2"/>
        <charset val="238"/>
      </rPr>
      <t> </t>
    </r>
  </si>
  <si>
    <r>
      <t>TABUĽKA 18 - Konsolidačné úsilie</t>
    </r>
    <r>
      <rPr>
        <sz val="9"/>
        <color theme="4"/>
        <rFont val="Arial Narrow"/>
        <family val="2"/>
        <charset val="238"/>
      </rPr>
      <t xml:space="preserve"> (ESA2010, % HDP) </t>
    </r>
  </si>
  <si>
    <r>
      <t xml:space="preserve">GRAF 22 - Plánované konsolidačné úsilie </t>
    </r>
    <r>
      <rPr>
        <sz val="9"/>
        <color theme="4"/>
        <rFont val="Arial Narrow"/>
        <family val="2"/>
        <charset val="238"/>
      </rPr>
      <t>(% HDP)</t>
    </r>
  </si>
  <si>
    <r>
      <t xml:space="preserve"> GRAF 23 - Hrubý dlh verejnej správy </t>
    </r>
    <r>
      <rPr>
        <sz val="9"/>
        <color theme="4"/>
        <rFont val="Arial Narrow"/>
        <family val="2"/>
        <charset val="238"/>
      </rPr>
      <t>(% HDP)</t>
    </r>
  </si>
  <si>
    <r>
      <t>Konsolidačné úsilie</t>
    </r>
    <r>
      <rPr>
        <sz val="9"/>
        <color theme="4"/>
        <rFont val="Arial Narrow"/>
        <family val="2"/>
        <charset val="238"/>
      </rPr>
      <t xml:space="preserve"> (ESA2010, % HDP) </t>
    </r>
  </si>
  <si>
    <r>
      <t xml:space="preserve">GRAF 18 - Príspevky výrobných faktorov k rastu potenciálneho produktu </t>
    </r>
    <r>
      <rPr>
        <sz val="9"/>
        <color rgb="FF2C9ADC"/>
        <rFont val="Arial Narrow"/>
        <family val="2"/>
        <charset val="238"/>
      </rPr>
      <t>(p. b.)</t>
    </r>
    <r>
      <rPr>
        <b/>
        <sz val="9"/>
        <color rgb="FF2C9ADC"/>
        <rFont val="Arial Narrow"/>
        <family val="2"/>
        <charset val="238"/>
      </rPr>
      <t xml:space="preserve"> – prístup EK</t>
    </r>
  </si>
  <si>
    <r>
      <t>Dovozná náročnosť investície</t>
    </r>
    <r>
      <rPr>
        <vertAlign val="superscript"/>
        <sz val="9"/>
        <color rgb="FF000000"/>
        <rFont val="Arial Narrow"/>
        <family val="2"/>
        <charset val="238"/>
      </rPr>
      <t>2</t>
    </r>
  </si>
  <si>
    <r>
      <t>Import intensity of investment</t>
    </r>
    <r>
      <rPr>
        <vertAlign val="superscript"/>
        <sz val="9"/>
        <color rgb="FF000000"/>
        <rFont val="Arial Narrow"/>
        <family val="2"/>
        <charset val="238"/>
      </rPr>
      <t>2</t>
    </r>
  </si>
  <si>
    <r>
      <t>Investícia (mil. eur)</t>
    </r>
    <r>
      <rPr>
        <vertAlign val="superscript"/>
        <sz val="9"/>
        <color rgb="FF000000"/>
        <rFont val="Arial Narrow"/>
        <family val="2"/>
        <charset val="238"/>
      </rPr>
      <t>1</t>
    </r>
  </si>
  <si>
    <r>
      <t>Počet pracovných miest JLR</t>
    </r>
    <r>
      <rPr>
        <vertAlign val="superscript"/>
        <sz val="9"/>
        <color rgb="FF000000"/>
        <rFont val="Arial Narrow"/>
        <family val="2"/>
        <charset val="238"/>
      </rPr>
      <t>1</t>
    </r>
  </si>
  <si>
    <r>
      <t xml:space="preserve">Mzdové náklady na zamestnanca (eur) </t>
    </r>
    <r>
      <rPr>
        <vertAlign val="superscript"/>
        <sz val="9"/>
        <color rgb="FF000000"/>
        <rFont val="Arial Narrow"/>
        <family val="2"/>
        <charset val="238"/>
      </rPr>
      <t>1</t>
    </r>
  </si>
  <si>
    <r>
      <t>Investment (mil. eur)</t>
    </r>
    <r>
      <rPr>
        <vertAlign val="superscript"/>
        <sz val="9"/>
        <color rgb="FF000000"/>
        <rFont val="Arial Narrow"/>
        <family val="2"/>
        <charset val="238"/>
      </rPr>
      <t>1</t>
    </r>
  </si>
  <si>
    <r>
      <t>No. of jobs at JLR</t>
    </r>
    <r>
      <rPr>
        <vertAlign val="superscript"/>
        <sz val="9"/>
        <color rgb="FF000000"/>
        <rFont val="Arial Narrow"/>
        <family val="2"/>
        <charset val="238"/>
      </rPr>
      <t>1</t>
    </r>
  </si>
  <si>
    <r>
      <t xml:space="preserve">Wage costs per employee (eur) </t>
    </r>
    <r>
      <rPr>
        <vertAlign val="superscript"/>
        <sz val="9"/>
        <color rgb="FF000000"/>
        <rFont val="Arial Narrow"/>
        <family val="2"/>
        <charset val="238"/>
      </rPr>
      <t>1</t>
    </r>
  </si>
  <si>
    <r>
      <t xml:space="preserve">Import intensity of investment </t>
    </r>
    <r>
      <rPr>
        <vertAlign val="superscript"/>
        <sz val="9"/>
        <color rgb="FF000000"/>
        <rFont val="Arial Narrow"/>
        <family val="2"/>
        <charset val="238"/>
      </rPr>
      <t>2</t>
    </r>
  </si>
  <si>
    <t>ESA 2010 Tabuľka</t>
  </si>
  <si>
    <t>Jednorazové opatrenia - EK metodika</t>
  </si>
  <si>
    <t>Diskrečné príjmové opatrenia</t>
  </si>
  <si>
    <t>No policy scenario (NPC)</t>
  </si>
  <si>
    <t>Outturn</t>
  </si>
  <si>
    <t>Budget</t>
  </si>
  <si>
    <t>NPC</t>
  </si>
  <si>
    <t>Total revenue</t>
  </si>
  <si>
    <t>P.11 + P.12 + P.131</t>
  </si>
  <si>
    <t>D.421</t>
  </si>
  <si>
    <t>P.11 + P.12 + P.131 + D.4</t>
  </si>
  <si>
    <t>D.42-45</t>
  </si>
  <si>
    <t>D.632</t>
  </si>
  <si>
    <t>P.5M</t>
  </si>
  <si>
    <t>P.51G + P.5M + NP</t>
  </si>
  <si>
    <t>P.51G + P.5M + NP + D.9</t>
  </si>
  <si>
    <t>D.1 + P.2 + D.29 + D.5 + D.3 +D.4 + D.6 + D.7</t>
  </si>
  <si>
    <t>B.9 (TR - TE)</t>
  </si>
  <si>
    <t>in % of GDP</t>
  </si>
  <si>
    <t>Total expenditure</t>
  </si>
  <si>
    <t>Net lending/borrowing</t>
  </si>
  <si>
    <t xml:space="preserve"> - in % of GDP</t>
  </si>
  <si>
    <t>Current Expenditure</t>
  </si>
  <si>
    <t>Compensation of employees</t>
  </si>
  <si>
    <t xml:space="preserve"> - Wages and salaries</t>
  </si>
  <si>
    <t xml:space="preserve"> - Employers' social security contributions</t>
  </si>
  <si>
    <t>Intermediate Consumption</t>
  </si>
  <si>
    <t>Taxes</t>
  </si>
  <si>
    <t>Other taxes on production</t>
  </si>
  <si>
    <t>Current taxes on income, wealth etc.</t>
  </si>
  <si>
    <t>Subsidies</t>
  </si>
  <si>
    <t xml:space="preserve"> - Agricultural Subsidies</t>
  </si>
  <si>
    <t xml:space="preserve"> - Transport Subsidies</t>
  </si>
  <si>
    <t xml:space="preserve"> - Railway Transport</t>
  </si>
  <si>
    <t xml:space="preserve"> - Bus transport</t>
  </si>
  <si>
    <t xml:space="preserve"> - Other</t>
  </si>
  <si>
    <t>Property Income</t>
  </si>
  <si>
    <t xml:space="preserve"> - Interest</t>
  </si>
  <si>
    <t xml:space="preserve"> - Other Property Income</t>
  </si>
  <si>
    <t>Total Social Transfers</t>
  </si>
  <si>
    <t xml:space="preserve"> - Sociálne benefits other than in kind</t>
  </si>
  <si>
    <t xml:space="preserve"> - Active Labor Market Measures</t>
  </si>
  <si>
    <t xml:space="preserve"> - Sickness benefits</t>
  </si>
  <si>
    <t xml:space="preserve"> - Retirement and disability pensions</t>
  </si>
  <si>
    <t xml:space="preserve"> - Unemployment benefits</t>
  </si>
  <si>
    <t xml:space="preserve"> - State social allowances</t>
  </si>
  <si>
    <t xml:space="preserve"> - child allowance</t>
  </si>
  <si>
    <t xml:space="preserve"> - child birth benefit</t>
  </si>
  <si>
    <t xml:space="preserve"> - parental allowance</t>
  </si>
  <si>
    <t xml:space="preserve"> - material need allowance</t>
  </si>
  <si>
    <t xml:space="preserve"> - monetary compensation of disability</t>
  </si>
  <si>
    <t xml:space="preserve"> - social insurance</t>
  </si>
  <si>
    <t xml:space="preserve"> - health insurance</t>
  </si>
  <si>
    <t xml:space="preserve"> - Social transfers in kind (healthcare facilities)</t>
  </si>
  <si>
    <t>Other current transfers</t>
  </si>
  <si>
    <t>of which: 2% of taxes for publicly beneficial purposes</t>
  </si>
  <si>
    <t>Capital Expenditure</t>
  </si>
  <si>
    <t>Capital Investment</t>
  </si>
  <si>
    <t xml:space="preserve"> - Gross fixed capital formation</t>
  </si>
  <si>
    <t xml:space="preserve"> - Increase in inventories</t>
  </si>
  <si>
    <t xml:space="preserve"> - Acquisition minus disposal of non-financial assets</t>
  </si>
  <si>
    <t>Capital transfers</t>
  </si>
  <si>
    <t xml:space="preserve"> - Investment grants and other capital transfers</t>
  </si>
  <si>
    <t>of which: EU contributions (excluding VAT own resource)</t>
  </si>
  <si>
    <t>ESA 2010 code</t>
  </si>
  <si>
    <t>Taxes on Production and Imports</t>
  </si>
  <si>
    <t xml:space="preserve"> - VAT (excl. VAT directed to the EU)</t>
  </si>
  <si>
    <t xml:space="preserve"> - Excise taxes</t>
  </si>
  <si>
    <t xml:space="preserve"> - Import duty</t>
  </si>
  <si>
    <t xml:space="preserve"> - Taxes on Land, Buildings and Other Structures</t>
  </si>
  <si>
    <t>Current Taxes on Income, Wealth etc.</t>
  </si>
  <si>
    <t xml:space="preserve"> - PIT</t>
  </si>
  <si>
    <t xml:space="preserve"> - from employment</t>
  </si>
  <si>
    <t xml:space="preserve"> - from business and other independent activity</t>
  </si>
  <si>
    <t xml:space="preserve"> - CIT</t>
  </si>
  <si>
    <t xml:space="preserve"> - Withholding Tax - budgetary classification</t>
  </si>
  <si>
    <t xml:space="preserve"> - Income Tax - emissions</t>
  </si>
  <si>
    <t xml:space="preserve"> - Property Taxes and Others</t>
  </si>
  <si>
    <t>Capital taxes</t>
  </si>
  <si>
    <t>Social Security Contributions (SSC)</t>
  </si>
  <si>
    <t>Nontax revenue</t>
  </si>
  <si>
    <t>Sales</t>
  </si>
  <si>
    <t xml:space="preserve"> - Market output + Output for own final use</t>
  </si>
  <si>
    <t xml:space="preserve"> - Payments for other non-market output</t>
  </si>
  <si>
    <t>Property Income, of which</t>
  </si>
  <si>
    <t xml:space="preserve"> - Dividends</t>
  </si>
  <si>
    <t>Grants and transfers</t>
  </si>
  <si>
    <t>of which: EU</t>
  </si>
  <si>
    <t>Other Subsidies on Production</t>
  </si>
  <si>
    <t>Other Current Transfers</t>
  </si>
  <si>
    <t>Capital Transfers</t>
  </si>
  <si>
    <t>Actual Social Security Contributions</t>
  </si>
  <si>
    <t xml:space="preserve"> - Employers</t>
  </si>
  <si>
    <t xml:space="preserve"> - Employees</t>
  </si>
  <si>
    <t xml:space="preserve"> - Individuals - enterpreneurs and inactive persons</t>
  </si>
  <si>
    <t>Imputed SSC</t>
  </si>
  <si>
    <t xml:space="preserve"> - Insurance premiums for the specific groups of people based on the law </t>
  </si>
  <si>
    <t>Bilancia príjmov a výdavkov verejnej správy (ESA 2010, v mil. eur) / General Government Budget (ESA2010, EUR million)</t>
  </si>
  <si>
    <t>Estimate (actual</t>
  </si>
  <si>
    <t>S13</t>
  </si>
  <si>
    <t>S.13</t>
  </si>
  <si>
    <t>S1313</t>
  </si>
  <si>
    <t>S1311</t>
  </si>
  <si>
    <t>S.1311</t>
  </si>
  <si>
    <t>D.62p</t>
  </si>
  <si>
    <t>S.1313</t>
  </si>
  <si>
    <t>P.51g/D.9p</t>
  </si>
  <si>
    <t>Content - Stability Programme of the Slovak Republic for 2017 to 2020</t>
  </si>
  <si>
    <t xml:space="preserve">Figure 22 + 23 </t>
  </si>
  <si>
    <t>Figure 1 + 2</t>
  </si>
  <si>
    <t>Figure 24</t>
  </si>
  <si>
    <t>Figure 25 + 26</t>
  </si>
  <si>
    <t>Figure 56</t>
  </si>
  <si>
    <t>Figure 27</t>
  </si>
  <si>
    <t>Figure 37 + Tab 25</t>
  </si>
  <si>
    <t>Figure 3+4</t>
  </si>
  <si>
    <t>Figure 57 + 58 + 59</t>
  </si>
  <si>
    <t>Figure 5+6</t>
  </si>
  <si>
    <t>Figurey 7 a 8</t>
  </si>
  <si>
    <t xml:space="preserve">Figure 8,9,10 </t>
  </si>
  <si>
    <t xml:space="preserve">Figure 11+12 </t>
  </si>
  <si>
    <t>Figure 38 + 39</t>
  </si>
  <si>
    <t xml:space="preserve">Figure 28 + 29 </t>
  </si>
  <si>
    <t xml:space="preserve">Figure 13 + Tab 5 </t>
  </si>
  <si>
    <t>Figure 40</t>
  </si>
  <si>
    <t xml:space="preserve">Figure 14 + 15 </t>
  </si>
  <si>
    <t>Figure 30 + 31; tab 19</t>
  </si>
  <si>
    <t>Figure 41</t>
  </si>
  <si>
    <t xml:space="preserve">Figure 16 + 17 </t>
  </si>
  <si>
    <t xml:space="preserve">Figure 32 </t>
  </si>
  <si>
    <t>Figure 42</t>
  </si>
  <si>
    <t>Figure 18 + Tab 6</t>
  </si>
  <si>
    <t>Figure 43</t>
  </si>
  <si>
    <t>Figure 19 + Tab 7</t>
  </si>
  <si>
    <t>Figure 44 + 45</t>
  </si>
  <si>
    <t xml:space="preserve">Figure 20 + Tab 8 </t>
  </si>
  <si>
    <t xml:space="preserve">Figure 33 </t>
  </si>
  <si>
    <t>Figure 46 + 47</t>
  </si>
  <si>
    <t xml:space="preserve">Figure 21  + Tab 9 </t>
  </si>
  <si>
    <t>Figure 48 + 49</t>
  </si>
  <si>
    <t xml:space="preserve">Figure 34 </t>
  </si>
  <si>
    <t>Figure 50 + 51</t>
  </si>
  <si>
    <t xml:space="preserve">Figure  35 </t>
  </si>
  <si>
    <t>Figure 52 + 53</t>
  </si>
  <si>
    <t xml:space="preserve">Figure 36 </t>
  </si>
  <si>
    <t>Figure 54 +55</t>
  </si>
  <si>
    <t>CHAPTER 3</t>
  </si>
  <si>
    <t>CHAPTER 1</t>
  </si>
  <si>
    <t>CHAPTER 6</t>
  </si>
  <si>
    <t>CHAPTER 4</t>
  </si>
  <si>
    <t>CHAPTER 5</t>
  </si>
  <si>
    <t>CHAPTER 2</t>
  </si>
  <si>
    <t>SUMMARY</t>
  </si>
  <si>
    <t>One-off measures</t>
  </si>
  <si>
    <t>ESA 2010 Table</t>
  </si>
  <si>
    <t>ESA code</t>
  </si>
  <si>
    <t>Budget (1)</t>
  </si>
  <si>
    <t>Adjusted budget (2)</t>
  </si>
  <si>
    <t>Estimate*  (3)</t>
  </si>
  <si>
    <t xml:space="preserve"> (3)-(1) </t>
  </si>
  <si>
    <t>Actual change (3)-(2)</t>
  </si>
  <si>
    <t>Compensations</t>
  </si>
  <si>
    <t>Wages and salaries</t>
  </si>
  <si>
    <t>Social benefits of employers</t>
  </si>
  <si>
    <t>Intermediate consumption</t>
  </si>
  <si>
    <t>of which th reserve for compensations</t>
  </si>
  <si>
    <t>of which the reserve for compensations</t>
  </si>
  <si>
    <t>Total reserves</t>
  </si>
  <si>
    <t>* net of JAVYS</t>
  </si>
  <si>
    <t>Table 11 - – Analytical adjustment related to the reserve for indexation of salaries in GG</t>
  </si>
  <si>
    <t>1. Difference between cash and accrual data</t>
  </si>
  <si>
    <t>2. Change of financial assets</t>
  </si>
  <si>
    <t>Change of GG cash</t>
  </si>
  <si>
    <t>Change of othe assets (receivables)</t>
  </si>
  <si>
    <t>3. Bond issuance discount</t>
  </si>
  <si>
    <t>4. Bond discount at maturity</t>
  </si>
  <si>
    <t>5. Other</t>
  </si>
  <si>
    <t xml:space="preserve">                                 Source: MoF SR</t>
  </si>
  <si>
    <t>TABLE 22 - Stock-flow adjustment (% of GDP)</t>
  </si>
  <si>
    <t>Dependancy ratio, initial</t>
  </si>
  <si>
    <t>Dependancy ratio, update</t>
  </si>
  <si>
    <t>Number of inhabitants, initial (right axis)</t>
  </si>
  <si>
    <t>Number of inhabitants, update (right axis)</t>
  </si>
  <si>
    <t>GRAF 40 - Index závislosti  a počet obyvateľov SR (mil. osôb), podľa novej a pôvodnej prognózy Eurostatu  /   FIGURE 40 -Dependency ratio and SR population (mil. persons), according to the new and original forecast of Eurostat</t>
  </si>
  <si>
    <t>Úspory nezahrnuté v rozpočte / Savings not in the budget</t>
  </si>
  <si>
    <t>Výdavky 2017 - bez úspor / Expenditures 2017 - no savings</t>
  </si>
  <si>
    <t>Spolu/Total</t>
  </si>
  <si>
    <t>Spolu/ Total</t>
  </si>
  <si>
    <t>Zdravotníctvo 2017 / Healthcare 2017</t>
  </si>
  <si>
    <t>Informačné technológie 2017 / IT 2017</t>
  </si>
  <si>
    <t>Doprava - opravy, údržba, prevádzka 2017 / Transport (+ related) 2017</t>
  </si>
  <si>
    <t>Discretionary revenue measures</t>
  </si>
  <si>
    <t>TABLE 19 - Structural primary balance - EC methodology (% of GDP)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</si>
</sst>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€_-;\-* #,##0.00\ _€_-;_-* &quot;-&quot;??\ _€_-;_-@_-"/>
    <numFmt numFmtId="164" formatCode="0.0"/>
    <numFmt numFmtId="165" formatCode="0.0%"/>
    <numFmt numFmtId="166" formatCode="#,##0.0"/>
    <numFmt numFmtId="167" formatCode="_-* #,##0\ _€_-;\-* #,##0\ _€_-;_-* &quot;-&quot;??\ _€_-;_-@_-"/>
    <numFmt numFmtId="168" formatCode="#,##0.000"/>
    <numFmt numFmtId="169" formatCode="0.000"/>
    <numFmt numFmtId="170" formatCode="[$-409]mmm\-yy;@"/>
    <numFmt numFmtId="171" formatCode="mmm\-yy"/>
    <numFmt numFmtId="172" formatCode="#,##0.0000"/>
    <numFmt numFmtId="173" formatCode="0.00000"/>
    <numFmt numFmtId="174" formatCode="_-* #,##0.00\ _S_k_-;\-* #,##0.00\ _S_k_-;_-* &quot;-&quot;??\ _S_k_-;_-@_-"/>
    <numFmt numFmtId="175" formatCode="_-* #,##0.0\ _€_-;\-* #,##0.0\ _€_-;_-* &quot;-&quot;??\ _€_-;_-@_-"/>
    <numFmt numFmtId="176" formatCode="_-* #,##0\ _E_U_R_-;\-* #,##0\ _E_U_R_-;_-* &quot;-&quot;??\ _E_U_R_-;_-@_-"/>
    <numFmt numFmtId="177" formatCode="0.00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bscript"/>
      <sz val="9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0"/>
      <name val="MS Sans Serif"/>
      <family val="2"/>
    </font>
    <font>
      <sz val="11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Arial"/>
      <family val="2"/>
      <charset val="238"/>
    </font>
    <font>
      <i/>
      <vertAlign val="superscript"/>
      <sz val="9"/>
      <color rgb="FF000000"/>
      <name val="Arial Narrow"/>
      <family val="2"/>
      <charset val="238"/>
    </font>
    <font>
      <b/>
      <vertAlign val="superscript"/>
      <sz val="9"/>
      <color rgb="FF000000"/>
      <name val="Arial Narrow"/>
      <family val="2"/>
      <charset val="238"/>
    </font>
    <font>
      <sz val="9"/>
      <color theme="1"/>
      <name val="Calibri"/>
      <family val="2"/>
      <scheme val="minor"/>
    </font>
    <font>
      <b/>
      <i/>
      <sz val="9"/>
      <color theme="1"/>
      <name val="Arial Narrow"/>
      <family val="2"/>
      <charset val="238"/>
    </font>
    <font>
      <sz val="11"/>
      <color rgb="FFFFFFFF"/>
      <name val="Calibri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 tint="0.499984740745262"/>
      <name val="Arial Narrow"/>
      <family val="2"/>
      <charset val="238"/>
    </font>
    <font>
      <sz val="9"/>
      <color indexed="8"/>
      <name val="Garamond"/>
      <family val="1"/>
      <charset val="238"/>
    </font>
    <font>
      <sz val="11"/>
      <color indexed="8"/>
      <name val="Calibri"/>
      <family val="2"/>
      <charset val="238"/>
    </font>
    <font>
      <b/>
      <sz val="9"/>
      <color indexed="8"/>
      <name val="Garamond"/>
      <family val="1"/>
      <charset val="238"/>
    </font>
    <font>
      <sz val="11"/>
      <name val="Arial"/>
      <family val="2"/>
      <charset val="238"/>
    </font>
    <font>
      <b/>
      <sz val="9"/>
      <color theme="4"/>
      <name val="Arial Narrow"/>
      <family val="2"/>
      <charset val="238"/>
    </font>
    <font>
      <sz val="11"/>
      <color theme="1"/>
      <name val="Arial"/>
      <family val="2"/>
      <charset val="238"/>
    </font>
    <font>
      <sz val="9"/>
      <color theme="0"/>
      <name val="Arial Narrow"/>
      <family val="2"/>
      <charset val="238"/>
    </font>
    <font>
      <b/>
      <sz val="9"/>
      <color rgb="FF2C9ADC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sz val="9"/>
      <color rgb="FF2C9ADC"/>
      <name val="Arial Narrow"/>
      <family val="2"/>
      <charset val="238"/>
    </font>
    <font>
      <vertAlign val="subscript"/>
      <sz val="9"/>
      <color rgb="FF000000"/>
      <name val="Arial Narrow"/>
      <family val="2"/>
      <charset val="238"/>
    </font>
    <font>
      <vertAlign val="subscript"/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2C9BDC"/>
      <name val="Arial Narrow"/>
      <family val="2"/>
      <charset val="238"/>
    </font>
    <font>
      <b/>
      <u/>
      <sz val="9"/>
      <color rgb="FF2C9BDC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u/>
      <sz val="9"/>
      <color theme="1"/>
      <name val="Arial Narrow"/>
      <family val="2"/>
      <charset val="238"/>
    </font>
    <font>
      <sz val="9"/>
      <color rgb="FF2C9BDC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sz val="9"/>
      <color theme="4"/>
      <name val="Arial Narrow"/>
      <family val="2"/>
      <charset val="238"/>
    </font>
    <font>
      <sz val="9"/>
      <color theme="0" tint="-0.34998626667073579"/>
      <name val="Arial Narrow"/>
      <family val="2"/>
      <charset val="238"/>
    </font>
    <font>
      <vertAlign val="superscript"/>
      <sz val="9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u/>
      <sz val="12"/>
      <color theme="10"/>
      <name val="Arial Narrow"/>
      <family val="2"/>
      <charset val="238"/>
    </font>
    <font>
      <sz val="12"/>
      <color rgb="FFFFFFFF"/>
      <name val="Arial Narrow"/>
      <family val="2"/>
      <charset val="238"/>
    </font>
    <font>
      <b/>
      <sz val="12"/>
      <name val="Arial Narrow"/>
      <family val="2"/>
      <charset val="238"/>
    </font>
    <font>
      <u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rgb="FFFF6600"/>
      </patternFill>
    </fill>
    <fill>
      <patternFill patternType="solid">
        <fgColor rgb="FF33CCCC"/>
        <bgColor rgb="FF33CCCC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17" fillId="0" borderId="0" applyNumberForma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10" fillId="0" borderId="0"/>
    <xf numFmtId="0" fontId="9" fillId="0" borderId="0"/>
    <xf numFmtId="0" fontId="30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/>
    <xf numFmtId="0" fontId="8" fillId="0" borderId="0"/>
    <xf numFmtId="0" fontId="8" fillId="0" borderId="0"/>
    <xf numFmtId="0" fontId="33" fillId="0" borderId="0"/>
    <xf numFmtId="0" fontId="7" fillId="0" borderId="0"/>
    <xf numFmtId="0" fontId="6" fillId="0" borderId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1" fillId="0" borderId="0"/>
    <xf numFmtId="0" fontId="31" fillId="0" borderId="0"/>
    <xf numFmtId="43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2" fillId="0" borderId="0"/>
    <xf numFmtId="9" fontId="11" fillId="0" borderId="0" applyFont="0" applyFill="0" applyBorder="0" applyAlignment="0" applyProtection="0"/>
    <xf numFmtId="0" fontId="11" fillId="0" borderId="0"/>
    <xf numFmtId="0" fontId="3" fillId="0" borderId="0"/>
    <xf numFmtId="174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4" fillId="0" borderId="0"/>
    <xf numFmtId="0" fontId="15" fillId="0" borderId="0"/>
    <xf numFmtId="0" fontId="44" fillId="0" borderId="0"/>
    <xf numFmtId="0" fontId="42" fillId="0" borderId="0"/>
    <xf numFmtId="0" fontId="2" fillId="0" borderId="0"/>
    <xf numFmtId="17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0" fontId="46" fillId="0" borderId="0"/>
    <xf numFmtId="0" fontId="1" fillId="0" borderId="0"/>
    <xf numFmtId="0" fontId="27" fillId="0" borderId="0"/>
  </cellStyleXfs>
  <cellXfs count="1009">
    <xf numFmtId="0" fontId="0" fillId="0" borderId="0" xfId="0"/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indent="3"/>
    </xf>
    <xf numFmtId="0" fontId="19" fillId="0" borderId="7" xfId="0" applyFont="1" applyBorder="1" applyAlignment="1">
      <alignment horizontal="left" vertical="center" indent="1"/>
    </xf>
    <xf numFmtId="0" fontId="16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Border="1"/>
    <xf numFmtId="3" fontId="16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0" fontId="16" fillId="0" borderId="0" xfId="0" applyFont="1"/>
    <xf numFmtId="2" fontId="16" fillId="0" borderId="0" xfId="0" applyNumberFormat="1" applyFont="1"/>
    <xf numFmtId="166" fontId="19" fillId="0" borderId="7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 wrapText="1"/>
    </xf>
    <xf numFmtId="164" fontId="13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Fill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164" fontId="16" fillId="0" borderId="0" xfId="0" applyNumberFormat="1" applyFont="1"/>
    <xf numFmtId="0" fontId="16" fillId="0" borderId="1" xfId="0" applyFont="1" applyBorder="1" applyAlignment="1">
      <alignment horizontal="left" indent="1"/>
    </xf>
    <xf numFmtId="164" fontId="16" fillId="0" borderId="1" xfId="0" applyNumberFormat="1" applyFont="1" applyBorder="1"/>
    <xf numFmtId="0" fontId="16" fillId="0" borderId="1" xfId="0" applyFont="1" applyBorder="1"/>
    <xf numFmtId="0" fontId="19" fillId="0" borderId="1" xfId="0" applyFont="1" applyBorder="1"/>
    <xf numFmtId="0" fontId="16" fillId="0" borderId="2" xfId="0" applyFont="1" applyBorder="1"/>
    <xf numFmtId="164" fontId="16" fillId="0" borderId="2" xfId="0" applyNumberFormat="1" applyFont="1" applyBorder="1"/>
    <xf numFmtId="0" fontId="19" fillId="0" borderId="2" xfId="0" applyFont="1" applyBorder="1"/>
    <xf numFmtId="0" fontId="19" fillId="0" borderId="0" xfId="0" applyFont="1" applyBorder="1" applyAlignment="1">
      <alignment vertical="center"/>
    </xf>
    <xf numFmtId="164" fontId="16" fillId="0" borderId="0" xfId="0" applyNumberFormat="1" applyFont="1" applyBorder="1" applyAlignment="1">
      <alignment horizontal="right" vertical="center" wrapText="1"/>
    </xf>
    <xf numFmtId="2" fontId="13" fillId="2" borderId="0" xfId="0" applyNumberFormat="1" applyFont="1" applyFill="1" applyAlignment="1">
      <alignment horizontal="center" vertical="center"/>
    </xf>
    <xf numFmtId="0" fontId="28" fillId="0" borderId="24" xfId="4" applyFont="1" applyFill="1" applyBorder="1" applyAlignment="1">
      <alignment horizontal="left" vertical="center" wrapText="1" indent="1"/>
    </xf>
    <xf numFmtId="49" fontId="28" fillId="0" borderId="24" xfId="4" applyNumberFormat="1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vertical="center"/>
    </xf>
    <xf numFmtId="0" fontId="32" fillId="0" borderId="28" xfId="4" applyFont="1" applyFill="1" applyBorder="1" applyAlignment="1">
      <alignment horizontal="center" vertical="center" wrapText="1"/>
    </xf>
    <xf numFmtId="0" fontId="32" fillId="0" borderId="23" xfId="4" applyFont="1" applyFill="1" applyBorder="1" applyAlignment="1">
      <alignment horizontal="center" vertical="center" wrapText="1"/>
    </xf>
    <xf numFmtId="2" fontId="28" fillId="0" borderId="0" xfId="4" applyNumberFormat="1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2" fontId="32" fillId="0" borderId="0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164" fontId="21" fillId="0" borderId="0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right" vertical="center"/>
    </xf>
    <xf numFmtId="3" fontId="16" fillId="0" borderId="4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vertical="center" wrapText="1"/>
    </xf>
    <xf numFmtId="169" fontId="13" fillId="0" borderId="1" xfId="0" applyNumberFormat="1" applyFont="1" applyBorder="1" applyAlignment="1">
      <alignment horizontal="center" vertical="center"/>
    </xf>
    <xf numFmtId="169" fontId="1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20" fillId="0" borderId="0" xfId="0" applyFont="1" applyAlignment="1">
      <alignment vertical="center" wrapText="1"/>
    </xf>
    <xf numFmtId="0" fontId="13" fillId="8" borderId="0" xfId="0" applyFont="1" applyFill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64" fontId="28" fillId="0" borderId="0" xfId="4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9" fillId="2" borderId="4" xfId="0" applyNumberFormat="1" applyFont="1" applyFill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vertical="center"/>
    </xf>
    <xf numFmtId="2" fontId="13" fillId="6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3" fontId="19" fillId="0" borderId="9" xfId="0" applyNumberFormat="1" applyFont="1" applyBorder="1" applyAlignment="1">
      <alignment horizontal="right" vertical="center"/>
    </xf>
    <xf numFmtId="3" fontId="19" fillId="2" borderId="12" xfId="0" applyNumberFormat="1" applyFont="1" applyFill="1" applyBorder="1" applyAlignment="1">
      <alignment horizontal="right" vertical="center"/>
    </xf>
    <xf numFmtId="3" fontId="16" fillId="0" borderId="12" xfId="0" applyNumberFormat="1" applyFont="1" applyFill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 wrapText="1"/>
    </xf>
    <xf numFmtId="3" fontId="19" fillId="0" borderId="12" xfId="0" applyNumberFormat="1" applyFont="1" applyBorder="1" applyAlignment="1">
      <alignment horizontal="right" vertical="center"/>
    </xf>
    <xf numFmtId="166" fontId="19" fillId="0" borderId="13" xfId="0" applyNumberFormat="1" applyFont="1" applyBorder="1" applyAlignment="1">
      <alignment horizontal="right" vertical="center"/>
    </xf>
    <xf numFmtId="3" fontId="16" fillId="0" borderId="0" xfId="0" applyNumberFormat="1" applyFont="1" applyBorder="1" applyAlignment="1">
      <alignment horizontal="right" vertical="center"/>
    </xf>
    <xf numFmtId="0" fontId="34" fillId="0" borderId="3" xfId="0" applyFont="1" applyBorder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vertical="center"/>
    </xf>
    <xf numFmtId="166" fontId="19" fillId="0" borderId="0" xfId="0" applyNumberFormat="1" applyFont="1" applyFill="1" applyBorder="1" applyAlignment="1">
      <alignment vertical="center"/>
    </xf>
    <xf numFmtId="0" fontId="36" fillId="0" borderId="0" xfId="0" applyFont="1"/>
    <xf numFmtId="0" fontId="16" fillId="0" borderId="0" xfId="0" applyFont="1" applyFill="1"/>
    <xf numFmtId="0" fontId="19" fillId="0" borderId="0" xfId="0" applyFont="1" applyFill="1"/>
    <xf numFmtId="0" fontId="19" fillId="0" borderId="0" xfId="0" applyFont="1" applyFill="1" applyBorder="1"/>
    <xf numFmtId="0" fontId="16" fillId="0" borderId="0" xfId="14" applyFont="1" applyFill="1"/>
    <xf numFmtId="164" fontId="16" fillId="0" borderId="0" xfId="14" applyNumberFormat="1" applyFont="1" applyFill="1"/>
    <xf numFmtId="0" fontId="19" fillId="0" borderId="0" xfId="0" applyFont="1"/>
    <xf numFmtId="164" fontId="16" fillId="0" borderId="0" xfId="0" applyNumberFormat="1" applyFont="1" applyFill="1" applyAlignment="1">
      <alignment horizontal="right"/>
    </xf>
    <xf numFmtId="0" fontId="28" fillId="0" borderId="0" xfId="0" applyFont="1" applyFill="1" applyAlignment="1"/>
    <xf numFmtId="0" fontId="19" fillId="0" borderId="0" xfId="13" applyFont="1"/>
    <xf numFmtId="164" fontId="16" fillId="0" borderId="0" xfId="13" applyNumberFormat="1" applyFont="1"/>
    <xf numFmtId="164" fontId="16" fillId="0" borderId="0" xfId="0" applyNumberFormat="1" applyFont="1" applyFill="1"/>
    <xf numFmtId="0" fontId="16" fillId="0" borderId="29" xfId="0" applyFont="1" applyBorder="1" applyAlignment="1">
      <alignment horizontal="left" vertical="center" indent="3"/>
    </xf>
    <xf numFmtId="3" fontId="16" fillId="0" borderId="14" xfId="0" applyNumberFormat="1" applyFont="1" applyBorder="1" applyAlignment="1">
      <alignment horizontal="right" vertical="center"/>
    </xf>
    <xf numFmtId="3" fontId="16" fillId="0" borderId="29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6" fillId="0" borderId="1" xfId="13" applyFont="1" applyBorder="1"/>
    <xf numFmtId="0" fontId="19" fillId="0" borderId="1" xfId="13" applyFont="1" applyBorder="1"/>
    <xf numFmtId="0" fontId="16" fillId="0" borderId="1" xfId="0" applyFont="1" applyFill="1" applyBorder="1"/>
    <xf numFmtId="0" fontId="19" fillId="0" borderId="1" xfId="0" applyFont="1" applyFill="1" applyBorder="1"/>
    <xf numFmtId="0" fontId="19" fillId="0" borderId="1" xfId="0" applyFont="1" applyFill="1" applyBorder="1" applyAlignment="1">
      <alignment horizontal="right"/>
    </xf>
    <xf numFmtId="0" fontId="19" fillId="0" borderId="1" xfId="14" applyFont="1" applyFill="1" applyBorder="1"/>
    <xf numFmtId="1" fontId="19" fillId="0" borderId="1" xfId="14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8" fillId="0" borderId="1" xfId="0" applyFont="1" applyBorder="1"/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Alignment="1"/>
    <xf numFmtId="0" fontId="14" fillId="0" borderId="0" xfId="0" applyFont="1"/>
    <xf numFmtId="0" fontId="14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1" fillId="0" borderId="0" xfId="0" applyFont="1"/>
    <xf numFmtId="164" fontId="14" fillId="0" borderId="0" xfId="0" applyNumberFormat="1" applyFont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164" fontId="16" fillId="6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3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 indent="1"/>
    </xf>
    <xf numFmtId="0" fontId="14" fillId="0" borderId="1" xfId="0" applyFont="1" applyFill="1" applyBorder="1" applyAlignment="1">
      <alignment horizontal="left" vertical="center" wrapText="1" inden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168" fontId="29" fillId="0" borderId="0" xfId="3" applyNumberFormat="1" applyFont="1" applyFill="1" applyBorder="1" applyAlignment="1">
      <alignment horizontal="right" vertical="top" wrapText="1"/>
    </xf>
    <xf numFmtId="168" fontId="29" fillId="0" borderId="0" xfId="3" applyNumberFormat="1" applyFont="1" applyFill="1" applyBorder="1" applyAlignment="1">
      <alignment horizontal="right" wrapText="1"/>
    </xf>
    <xf numFmtId="166" fontId="29" fillId="0" borderId="0" xfId="3" applyNumberFormat="1" applyFont="1" applyFill="1" applyBorder="1" applyAlignment="1">
      <alignment horizontal="right" vertical="top" wrapText="1"/>
    </xf>
    <xf numFmtId="166" fontId="29" fillId="0" borderId="0" xfId="3" applyNumberFormat="1" applyFont="1" applyFill="1" applyBorder="1" applyAlignment="1">
      <alignment horizontal="right" wrapText="1"/>
    </xf>
    <xf numFmtId="164" fontId="19" fillId="0" borderId="0" xfId="2" applyNumberFormat="1" applyFont="1" applyFill="1" applyBorder="1" applyAlignment="1"/>
    <xf numFmtId="0" fontId="37" fillId="0" borderId="0" xfId="0" applyFont="1" applyFill="1"/>
    <xf numFmtId="164" fontId="37" fillId="0" borderId="0" xfId="2" applyNumberFormat="1" applyFont="1" applyFill="1" applyBorder="1" applyAlignment="1"/>
    <xf numFmtId="167" fontId="28" fillId="0" borderId="0" xfId="3" applyNumberFormat="1" applyFont="1" applyFill="1" applyBorder="1" applyAlignment="1">
      <alignment horizontal="center" vertical="center"/>
    </xf>
    <xf numFmtId="167" fontId="28" fillId="0" borderId="17" xfId="3" applyNumberFormat="1" applyFont="1" applyFill="1" applyBorder="1" applyAlignment="1">
      <alignment horizontal="center" vertical="center"/>
    </xf>
    <xf numFmtId="0" fontId="16" fillId="0" borderId="23" xfId="20" applyFont="1" applyBorder="1" applyAlignment="1">
      <alignment horizontal="center"/>
    </xf>
    <xf numFmtId="0" fontId="19" fillId="0" borderId="23" xfId="20" applyFont="1" applyBorder="1" applyAlignment="1">
      <alignment horizontal="center" vertical="center"/>
    </xf>
    <xf numFmtId="0" fontId="16" fillId="0" borderId="0" xfId="20" applyFont="1"/>
    <xf numFmtId="0" fontId="16" fillId="0" borderId="17" xfId="20" applyFont="1" applyBorder="1"/>
    <xf numFmtId="0" fontId="19" fillId="0" borderId="0" xfId="20" applyFont="1"/>
    <xf numFmtId="165" fontId="16" fillId="0" borderId="0" xfId="21" applyNumberFormat="1" applyFont="1"/>
    <xf numFmtId="165" fontId="16" fillId="0" borderId="17" xfId="21" applyNumberFormat="1" applyFont="1" applyBorder="1"/>
    <xf numFmtId="9" fontId="19" fillId="0" borderId="0" xfId="21" applyFont="1"/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left" indent="1"/>
    </xf>
    <xf numFmtId="164" fontId="16" fillId="0" borderId="0" xfId="0" applyNumberFormat="1" applyFont="1" applyBorder="1"/>
    <xf numFmtId="0" fontId="16" fillId="0" borderId="3" xfId="0" applyFont="1" applyBorder="1" applyAlignment="1">
      <alignment vertical="center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3" fillId="0" borderId="0" xfId="6" applyFont="1" applyAlignment="1">
      <alignment vertical="center" wrapText="1"/>
    </xf>
    <xf numFmtId="0" fontId="13" fillId="0" borderId="1" xfId="6" applyFont="1" applyBorder="1" applyAlignment="1">
      <alignment vertical="center" wrapText="1"/>
    </xf>
    <xf numFmtId="0" fontId="13" fillId="0" borderId="17" xfId="6" applyFont="1" applyBorder="1" applyAlignment="1">
      <alignment vertical="center" wrapText="1"/>
    </xf>
    <xf numFmtId="0" fontId="14" fillId="0" borderId="0" xfId="6" applyFont="1" applyAlignment="1">
      <alignment horizontal="left" vertical="center" wrapText="1" indent="1"/>
    </xf>
    <xf numFmtId="0" fontId="13" fillId="0" borderId="23" xfId="6" applyFont="1" applyBorder="1" applyAlignment="1">
      <alignment vertical="center" wrapText="1"/>
    </xf>
    <xf numFmtId="0" fontId="14" fillId="0" borderId="0" xfId="6" applyFont="1" applyBorder="1" applyAlignment="1">
      <alignment horizontal="left" vertical="center" wrapText="1" indent="1"/>
    </xf>
    <xf numFmtId="0" fontId="14" fillId="0" borderId="1" xfId="6" applyFont="1" applyBorder="1" applyAlignment="1">
      <alignment horizontal="left" vertical="center" wrapText="1" indent="1"/>
    </xf>
    <xf numFmtId="2" fontId="13" fillId="0" borderId="30" xfId="6" applyNumberFormat="1" applyFont="1" applyBorder="1" applyAlignment="1">
      <alignment horizontal="center" vertical="center" wrapText="1"/>
    </xf>
    <xf numFmtId="1" fontId="13" fillId="0" borderId="30" xfId="6" applyNumberFormat="1" applyFont="1" applyBorder="1" applyAlignment="1">
      <alignment horizontal="center" vertical="center" wrapText="1"/>
    </xf>
    <xf numFmtId="0" fontId="29" fillId="0" borderId="0" xfId="6" applyFont="1" applyAlignment="1">
      <alignment horizontal="center"/>
    </xf>
    <xf numFmtId="2" fontId="14" fillId="0" borderId="0" xfId="6" applyNumberFormat="1" applyFont="1" applyAlignment="1">
      <alignment horizontal="center" vertical="center" wrapText="1"/>
    </xf>
    <xf numFmtId="1" fontId="14" fillId="0" borderId="0" xfId="6" applyNumberFormat="1" applyFont="1" applyAlignment="1">
      <alignment horizontal="center" vertical="center" wrapText="1"/>
    </xf>
    <xf numFmtId="1" fontId="14" fillId="0" borderId="0" xfId="6" applyNumberFormat="1" applyFont="1" applyBorder="1" applyAlignment="1">
      <alignment horizontal="center" vertical="center" wrapText="1"/>
    </xf>
    <xf numFmtId="2" fontId="14" fillId="0" borderId="0" xfId="6" applyNumberFormat="1" applyFont="1" applyBorder="1" applyAlignment="1">
      <alignment horizontal="center" vertical="center" wrapText="1"/>
    </xf>
    <xf numFmtId="0" fontId="29" fillId="0" borderId="1" xfId="6" applyFont="1" applyBorder="1" applyAlignment="1">
      <alignment horizontal="center"/>
    </xf>
    <xf numFmtId="2" fontId="14" fillId="0" borderId="1" xfId="6" applyNumberFormat="1" applyFont="1" applyBorder="1" applyAlignment="1">
      <alignment horizontal="center" vertical="center" wrapText="1"/>
    </xf>
    <xf numFmtId="1" fontId="14" fillId="0" borderId="1" xfId="6" applyNumberFormat="1" applyFont="1" applyBorder="1" applyAlignment="1">
      <alignment horizontal="center" vertical="center" wrapText="1"/>
    </xf>
    <xf numFmtId="2" fontId="14" fillId="0" borderId="17" xfId="6" applyNumberFormat="1" applyFont="1" applyBorder="1" applyAlignment="1">
      <alignment horizontal="center" vertical="center" wrapText="1"/>
    </xf>
    <xf numFmtId="0" fontId="13" fillId="0" borderId="17" xfId="6" applyFont="1" applyBorder="1" applyAlignment="1">
      <alignment horizontal="center" vertical="center" wrapText="1"/>
    </xf>
    <xf numFmtId="2" fontId="13" fillId="0" borderId="17" xfId="6" applyNumberFormat="1" applyFont="1" applyBorder="1" applyAlignment="1">
      <alignment horizontal="center" vertical="center" wrapText="1"/>
    </xf>
    <xf numFmtId="1" fontId="13" fillId="0" borderId="17" xfId="6" applyNumberFormat="1" applyFont="1" applyBorder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0" fontId="14" fillId="0" borderId="0" xfId="6" applyFont="1" applyAlignment="1">
      <alignment horizontal="center" vertical="center" wrapText="1"/>
    </xf>
    <xf numFmtId="0" fontId="29" fillId="0" borderId="0" xfId="6" applyFont="1" applyAlignment="1">
      <alignment horizontal="center" vertical="center" wrapText="1"/>
    </xf>
    <xf numFmtId="0" fontId="14" fillId="0" borderId="23" xfId="6" applyFont="1" applyBorder="1" applyAlignment="1">
      <alignment horizontal="center" vertical="center" wrapText="1"/>
    </xf>
    <xf numFmtId="2" fontId="14" fillId="0" borderId="23" xfId="6" applyNumberFormat="1" applyFont="1" applyBorder="1" applyAlignment="1">
      <alignment horizontal="center" vertical="center" wrapText="1"/>
    </xf>
    <xf numFmtId="1" fontId="14" fillId="0" borderId="23" xfId="6" applyNumberFormat="1" applyFont="1" applyBorder="1" applyAlignment="1">
      <alignment horizontal="center" vertical="center" wrapText="1"/>
    </xf>
    <xf numFmtId="0" fontId="14" fillId="0" borderId="0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wrapText="1"/>
    </xf>
    <xf numFmtId="0" fontId="29" fillId="0" borderId="23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1" fontId="39" fillId="0" borderId="2" xfId="6" applyNumberFormat="1" applyFont="1" applyBorder="1" applyAlignment="1">
      <alignment horizontal="center"/>
    </xf>
    <xf numFmtId="2" fontId="39" fillId="0" borderId="2" xfId="6" applyNumberFormat="1" applyFont="1" applyBorder="1" applyAlignment="1">
      <alignment horizontal="center"/>
    </xf>
    <xf numFmtId="0" fontId="13" fillId="0" borderId="20" xfId="0" applyFont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64" fontId="14" fillId="0" borderId="0" xfId="0" applyNumberFormat="1" applyFont="1" applyFill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/>
    </xf>
    <xf numFmtId="43" fontId="28" fillId="0" borderId="0" xfId="4" applyNumberFormat="1" applyFont="1" applyFill="1" applyBorder="1" applyAlignment="1">
      <alignment horizontal="center" vertical="center"/>
    </xf>
    <xf numFmtId="43" fontId="28" fillId="0" borderId="17" xfId="4" applyNumberFormat="1" applyFont="1" applyFill="1" applyBorder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3" fontId="14" fillId="0" borderId="12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vertical="center" wrapText="1"/>
    </xf>
    <xf numFmtId="3" fontId="14" fillId="0" borderId="13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166" fontId="13" fillId="0" borderId="0" xfId="0" applyNumberFormat="1" applyFont="1" applyBorder="1" applyAlignment="1">
      <alignment horizontal="center" vertical="center"/>
    </xf>
    <xf numFmtId="166" fontId="13" fillId="0" borderId="12" xfId="0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2" fontId="14" fillId="0" borderId="12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166" fontId="13" fillId="0" borderId="9" xfId="0" applyNumberFormat="1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166" fontId="13" fillId="0" borderId="8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0" fontId="14" fillId="0" borderId="0" xfId="23" applyFont="1" applyFill="1" applyBorder="1" applyAlignment="1">
      <alignment horizontal="left" vertical="center" indent="1"/>
    </xf>
    <xf numFmtId="3" fontId="14" fillId="0" borderId="0" xfId="23" applyNumberFormat="1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 wrapText="1"/>
    </xf>
    <xf numFmtId="164" fontId="14" fillId="2" borderId="0" xfId="3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/>
    </xf>
    <xf numFmtId="2" fontId="13" fillId="2" borderId="17" xfId="0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2" fontId="13" fillId="0" borderId="23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2" fontId="40" fillId="0" borderId="17" xfId="0" applyNumberFormat="1" applyFont="1" applyBorder="1" applyAlignment="1">
      <alignment horizontal="center" vertical="center"/>
    </xf>
    <xf numFmtId="0" fontId="19" fillId="0" borderId="17" xfId="0" applyFont="1" applyBorder="1"/>
    <xf numFmtId="1" fontId="14" fillId="0" borderId="0" xfId="3" applyNumberFormat="1" applyFont="1" applyFill="1" applyBorder="1" applyAlignment="1">
      <alignment horizontal="right" vertical="center"/>
    </xf>
    <xf numFmtId="167" fontId="16" fillId="0" borderId="0" xfId="3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vertical="center"/>
    </xf>
    <xf numFmtId="2" fontId="14" fillId="0" borderId="17" xfId="0" applyNumberFormat="1" applyFont="1" applyFill="1" applyBorder="1" applyAlignment="1">
      <alignment vertical="center"/>
    </xf>
    <xf numFmtId="2" fontId="19" fillId="6" borderId="0" xfId="0" applyNumberFormat="1" applyFont="1" applyFill="1" applyBorder="1" applyAlignment="1">
      <alignment vertical="center" wrapText="1"/>
    </xf>
    <xf numFmtId="2" fontId="32" fillId="6" borderId="0" xfId="0" applyNumberFormat="1" applyFont="1" applyFill="1" applyBorder="1" applyAlignment="1">
      <alignment vertical="center" wrapText="1"/>
    </xf>
    <xf numFmtId="2" fontId="21" fillId="0" borderId="0" xfId="0" applyNumberFormat="1" applyFont="1" applyFill="1" applyBorder="1" applyAlignment="1">
      <alignment vertical="center"/>
    </xf>
    <xf numFmtId="2" fontId="21" fillId="6" borderId="0" xfId="0" applyNumberFormat="1" applyFont="1" applyFill="1" applyBorder="1" applyAlignment="1">
      <alignment vertical="center"/>
    </xf>
    <xf numFmtId="1" fontId="19" fillId="0" borderId="23" xfId="0" applyNumberFormat="1" applyFont="1" applyBorder="1" applyAlignment="1">
      <alignment horizontal="right" vertical="center"/>
    </xf>
    <xf numFmtId="2" fontId="19" fillId="0" borderId="34" xfId="0" applyNumberFormat="1" applyFont="1" applyFill="1" applyBorder="1" applyAlignment="1">
      <alignment vertical="center" wrapText="1"/>
    </xf>
    <xf numFmtId="0" fontId="41" fillId="0" borderId="0" xfId="30" applyNumberFormat="1" applyFont="1" applyFill="1" applyBorder="1" applyAlignment="1" applyProtection="1"/>
    <xf numFmtId="4" fontId="41" fillId="0" borderId="0" xfId="30" applyNumberFormat="1" applyFont="1" applyFill="1" applyBorder="1" applyAlignment="1" applyProtection="1"/>
    <xf numFmtId="0" fontId="43" fillId="0" borderId="0" xfId="30" applyNumberFormat="1" applyFont="1" applyFill="1" applyBorder="1" applyAlignment="1" applyProtection="1"/>
    <xf numFmtId="0" fontId="41" fillId="0" borderId="0" xfId="30" applyFont="1" applyFill="1"/>
    <xf numFmtId="0" fontId="43" fillId="0" borderId="0" xfId="30" applyFont="1" applyFill="1"/>
    <xf numFmtId="164" fontId="43" fillId="0" borderId="0" xfId="30" applyNumberFormat="1" applyFont="1" applyFill="1" applyBorder="1" applyAlignment="1" applyProtection="1"/>
    <xf numFmtId="1" fontId="14" fillId="0" borderId="17" xfId="3" applyNumberFormat="1" applyFont="1" applyFill="1" applyBorder="1" applyAlignment="1">
      <alignment horizontal="right" vertical="center"/>
    </xf>
    <xf numFmtId="164" fontId="14" fillId="0" borderId="26" xfId="3" applyNumberFormat="1" applyFont="1" applyFill="1" applyBorder="1" applyAlignment="1">
      <alignment horizontal="right" vertical="center"/>
    </xf>
    <xf numFmtId="164" fontId="14" fillId="0" borderId="17" xfId="3" applyNumberFormat="1" applyFont="1" applyFill="1" applyBorder="1" applyAlignment="1">
      <alignment horizontal="right" vertical="center"/>
    </xf>
    <xf numFmtId="164" fontId="21" fillId="6" borderId="0" xfId="0" applyNumberFormat="1" applyFont="1" applyFill="1" applyBorder="1" applyAlignment="1">
      <alignment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Border="1"/>
    <xf numFmtId="0" fontId="18" fillId="0" borderId="0" xfId="0" applyFont="1" applyBorder="1"/>
    <xf numFmtId="164" fontId="14" fillId="0" borderId="0" xfId="3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right" vertical="center"/>
    </xf>
    <xf numFmtId="1" fontId="19" fillId="0" borderId="1" xfId="0" applyNumberFormat="1" applyFont="1" applyBorder="1" applyAlignment="1">
      <alignment horizontal="center" vertical="center"/>
    </xf>
    <xf numFmtId="0" fontId="28" fillId="0" borderId="0" xfId="0" applyFont="1"/>
    <xf numFmtId="1" fontId="16" fillId="0" borderId="0" xfId="0" applyNumberFormat="1" applyFont="1" applyAlignment="1">
      <alignment horizontal="center"/>
    </xf>
    <xf numFmtId="0" fontId="28" fillId="0" borderId="1" xfId="0" applyFont="1" applyBorder="1"/>
    <xf numFmtId="1" fontId="16" fillId="0" borderId="1" xfId="0" applyNumberFormat="1" applyFont="1" applyBorder="1" applyAlignment="1">
      <alignment horizontal="center"/>
    </xf>
    <xf numFmtId="0" fontId="32" fillId="0" borderId="2" xfId="0" applyFont="1" applyBorder="1"/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32" fillId="0" borderId="0" xfId="0" applyFont="1"/>
    <xf numFmtId="3" fontId="32" fillId="0" borderId="0" xfId="0" applyNumberFormat="1" applyFont="1"/>
    <xf numFmtId="3" fontId="28" fillId="0" borderId="0" xfId="0" applyNumberFormat="1" applyFont="1"/>
    <xf numFmtId="3" fontId="28" fillId="0" borderId="0" xfId="0" applyNumberFormat="1" applyFont="1" applyFill="1"/>
    <xf numFmtId="3" fontId="28" fillId="0" borderId="1" xfId="0" applyNumberFormat="1" applyFont="1" applyBorder="1"/>
    <xf numFmtId="1" fontId="19" fillId="0" borderId="1" xfId="0" applyNumberFormat="1" applyFont="1" applyBorder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right" vertical="center"/>
    </xf>
    <xf numFmtId="0" fontId="16" fillId="0" borderId="0" xfId="38" applyFont="1"/>
    <xf numFmtId="0" fontId="16" fillId="0" borderId="17" xfId="38" applyFont="1" applyBorder="1"/>
    <xf numFmtId="0" fontId="16" fillId="0" borderId="17" xfId="38" applyFont="1" applyBorder="1" applyAlignment="1">
      <alignment horizontal="center"/>
    </xf>
    <xf numFmtId="166" fontId="16" fillId="0" borderId="0" xfId="38" applyNumberFormat="1" applyFont="1" applyBorder="1"/>
    <xf numFmtId="166" fontId="28" fillId="0" borderId="0" xfId="39" applyNumberFormat="1" applyFont="1" applyFill="1" applyBorder="1" applyAlignment="1"/>
    <xf numFmtId="0" fontId="16" fillId="0" borderId="0" xfId="38" applyFont="1" applyAlignment="1">
      <alignment horizontal="left" indent="1"/>
    </xf>
    <xf numFmtId="0" fontId="16" fillId="0" borderId="17" xfId="38" applyFont="1" applyBorder="1" applyAlignment="1">
      <alignment horizontal="left" indent="1"/>
    </xf>
    <xf numFmtId="166" fontId="16" fillId="0" borderId="17" xfId="38" applyNumberFormat="1" applyFont="1" applyBorder="1"/>
    <xf numFmtId="0" fontId="16" fillId="0" borderId="23" xfId="38" applyFont="1" applyBorder="1" applyAlignment="1">
      <alignment horizontal="center"/>
    </xf>
    <xf numFmtId="0" fontId="28" fillId="0" borderId="0" xfId="38" applyFont="1"/>
    <xf numFmtId="0" fontId="29" fillId="0" borderId="0" xfId="40" applyFont="1"/>
    <xf numFmtId="4" fontId="29" fillId="0" borderId="0" xfId="40" applyNumberFormat="1" applyFont="1"/>
    <xf numFmtId="168" fontId="29" fillId="0" borderId="0" xfId="42" applyNumberFormat="1" applyFont="1" applyAlignment="1">
      <alignment horizontal="center"/>
    </xf>
    <xf numFmtId="0" fontId="29" fillId="0" borderId="17" xfId="40" applyFont="1" applyBorder="1"/>
    <xf numFmtId="0" fontId="29" fillId="0" borderId="17" xfId="40" applyFont="1" applyBorder="1" applyAlignment="1">
      <alignment horizontal="center"/>
    </xf>
    <xf numFmtId="164" fontId="29" fillId="0" borderId="0" xfId="40" applyNumberFormat="1" applyFont="1" applyAlignment="1">
      <alignment horizontal="center"/>
    </xf>
    <xf numFmtId="0" fontId="29" fillId="0" borderId="0" xfId="40" applyFont="1" applyBorder="1"/>
    <xf numFmtId="164" fontId="29" fillId="0" borderId="0" xfId="40" applyNumberFormat="1" applyFont="1" applyBorder="1" applyAlignment="1">
      <alignment horizontal="center"/>
    </xf>
    <xf numFmtId="0" fontId="29" fillId="0" borderId="23" xfId="40" applyFont="1" applyBorder="1"/>
    <xf numFmtId="164" fontId="29" fillId="0" borderId="23" xfId="40" applyNumberFormat="1" applyFont="1" applyBorder="1" applyAlignment="1">
      <alignment horizontal="center"/>
    </xf>
    <xf numFmtId="10" fontId="29" fillId="0" borderId="0" xfId="40" applyNumberFormat="1" applyFont="1" applyAlignment="1">
      <alignment horizontal="center"/>
    </xf>
    <xf numFmtId="166" fontId="16" fillId="0" borderId="0" xfId="38" applyNumberFormat="1" applyFont="1" applyFill="1" applyBorder="1"/>
    <xf numFmtId="166" fontId="16" fillId="0" borderId="17" xfId="38" applyNumberFormat="1" applyFont="1" applyFill="1" applyBorder="1"/>
    <xf numFmtId="165" fontId="29" fillId="0" borderId="0" xfId="2" applyNumberFormat="1" applyFont="1" applyAlignment="1">
      <alignment horizontal="center"/>
    </xf>
    <xf numFmtId="168" fontId="29" fillId="0" borderId="0" xfId="42" applyNumberFormat="1" applyFont="1" applyAlignment="1">
      <alignment horizontal="left"/>
    </xf>
    <xf numFmtId="168" fontId="29" fillId="0" borderId="17" xfId="42" applyNumberFormat="1" applyFont="1" applyBorder="1" applyAlignment="1">
      <alignment horizontal="center"/>
    </xf>
    <xf numFmtId="168" fontId="29" fillId="0" borderId="17" xfId="42" applyNumberFormat="1" applyFont="1" applyBorder="1" applyAlignment="1">
      <alignment horizontal="left"/>
    </xf>
    <xf numFmtId="165" fontId="29" fillId="0" borderId="17" xfId="2" applyNumberFormat="1" applyFont="1" applyBorder="1" applyAlignment="1">
      <alignment horizontal="center"/>
    </xf>
    <xf numFmtId="0" fontId="16" fillId="0" borderId="17" xfId="45" applyFont="1" applyBorder="1"/>
    <xf numFmtId="0" fontId="16" fillId="0" borderId="17" xfId="45" applyFont="1" applyFill="1" applyBorder="1" applyAlignment="1">
      <alignment horizontal="center"/>
    </xf>
    <xf numFmtId="0" fontId="16" fillId="0" borderId="0" xfId="45" applyFont="1"/>
    <xf numFmtId="175" fontId="16" fillId="0" borderId="0" xfId="46" applyNumberFormat="1" applyFont="1"/>
    <xf numFmtId="175" fontId="16" fillId="0" borderId="17" xfId="46" applyNumberFormat="1" applyFont="1" applyBorder="1"/>
    <xf numFmtId="164" fontId="16" fillId="0" borderId="0" xfId="45" applyNumberFormat="1" applyFont="1"/>
    <xf numFmtId="164" fontId="47" fillId="0" borderId="0" xfId="45" applyNumberFormat="1" applyFont="1"/>
    <xf numFmtId="164" fontId="16" fillId="0" borderId="17" xfId="45" applyNumberFormat="1" applyFont="1" applyBorder="1"/>
    <xf numFmtId="0" fontId="16" fillId="0" borderId="20" xfId="0" applyFont="1" applyBorder="1"/>
    <xf numFmtId="0" fontId="16" fillId="0" borderId="23" xfId="0" applyFont="1" applyBorder="1"/>
    <xf numFmtId="164" fontId="16" fillId="0" borderId="23" xfId="0" applyNumberFormat="1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17" xfId="0" applyFont="1" applyBorder="1"/>
    <xf numFmtId="164" fontId="16" fillId="0" borderId="17" xfId="0" applyNumberFormat="1" applyFont="1" applyBorder="1" applyAlignment="1">
      <alignment horizontal="center"/>
    </xf>
    <xf numFmtId="0" fontId="45" fillId="0" borderId="0" xfId="0" applyFont="1" applyBorder="1" applyAlignment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center"/>
    </xf>
    <xf numFmtId="14" fontId="15" fillId="0" borderId="0" xfId="0" applyNumberFormat="1" applyFont="1"/>
    <xf numFmtId="164" fontId="16" fillId="0" borderId="0" xfId="2" applyNumberFormat="1" applyFont="1" applyFill="1" applyBorder="1" applyAlignment="1"/>
    <xf numFmtId="0" fontId="48" fillId="0" borderId="17" xfId="0" applyFont="1" applyBorder="1"/>
    <xf numFmtId="0" fontId="16" fillId="0" borderId="17" xfId="0" applyFont="1" applyBorder="1" applyAlignment="1">
      <alignment horizontal="center" vertical="center" wrapText="1"/>
    </xf>
    <xf numFmtId="0" fontId="16" fillId="0" borderId="34" xfId="0" applyFont="1" applyBorder="1"/>
    <xf numFmtId="0" fontId="39" fillId="0" borderId="35" xfId="0" applyFont="1" applyFill="1" applyBorder="1" applyAlignment="1">
      <alignment horizontal="center"/>
    </xf>
    <xf numFmtId="0" fontId="29" fillId="0" borderId="35" xfId="0" applyFont="1" applyFill="1" applyBorder="1" applyAlignment="1">
      <alignment horizontal="center"/>
    </xf>
    <xf numFmtId="0" fontId="21" fillId="0" borderId="0" xfId="0" applyFont="1" applyAlignment="1">
      <alignment horizontal="left" indent="1"/>
    </xf>
    <xf numFmtId="0" fontId="49" fillId="0" borderId="35" xfId="0" applyFont="1" applyFill="1" applyBorder="1" applyAlignment="1">
      <alignment horizontal="center"/>
    </xf>
    <xf numFmtId="0" fontId="21" fillId="0" borderId="17" xfId="0" applyFont="1" applyBorder="1" applyAlignment="1">
      <alignment horizontal="left" indent="1"/>
    </xf>
    <xf numFmtId="0" fontId="49" fillId="0" borderId="36" xfId="0" applyFont="1" applyFill="1" applyBorder="1" applyAlignment="1">
      <alignment horizontal="center"/>
    </xf>
    <xf numFmtId="0" fontId="13" fillId="0" borderId="4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6" borderId="0" xfId="0" applyFont="1" applyFill="1"/>
    <xf numFmtId="0" fontId="48" fillId="0" borderId="0" xfId="0" applyFont="1" applyBorder="1" applyAlignment="1">
      <alignment vertical="center"/>
    </xf>
    <xf numFmtId="0" fontId="19" fillId="0" borderId="23" xfId="0" applyFont="1" applyFill="1" applyBorder="1"/>
    <xf numFmtId="0" fontId="16" fillId="0" borderId="23" xfId="0" applyFont="1" applyFill="1" applyBorder="1"/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6" fillId="0" borderId="0" xfId="0" applyFont="1" applyFill="1" applyBorder="1"/>
    <xf numFmtId="0" fontId="28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6" xfId="0" applyFont="1" applyBorder="1" applyAlignment="1">
      <alignment horizontal="center" vertical="center" wrapText="1"/>
    </xf>
    <xf numFmtId="9" fontId="16" fillId="0" borderId="0" xfId="2" applyFont="1" applyBorder="1"/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vertical="center" wrapText="1"/>
    </xf>
    <xf numFmtId="0" fontId="14" fillId="0" borderId="34" xfId="0" applyFont="1" applyBorder="1" applyAlignment="1">
      <alignment horizontal="center" vertical="center" wrapText="1"/>
    </xf>
    <xf numFmtId="165" fontId="16" fillId="0" borderId="0" xfId="0" applyNumberFormat="1" applyFont="1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6" fillId="0" borderId="0" xfId="17" applyFont="1" applyFill="1" applyAlignment="1">
      <alignment wrapText="1"/>
    </xf>
    <xf numFmtId="0" fontId="16" fillId="0" borderId="0" xfId="17" applyFont="1" applyAlignment="1">
      <alignment wrapText="1"/>
    </xf>
    <xf numFmtId="1" fontId="16" fillId="0" borderId="0" xfId="17" applyNumberFormat="1" applyFont="1" applyFill="1"/>
    <xf numFmtId="0" fontId="16" fillId="0" borderId="0" xfId="17" applyFont="1"/>
    <xf numFmtId="0" fontId="45" fillId="0" borderId="0" xfId="0" applyFont="1"/>
    <xf numFmtId="0" fontId="16" fillId="0" borderId="0" xfId="17" applyFont="1" applyFill="1"/>
    <xf numFmtId="1" fontId="16" fillId="0" borderId="0" xfId="0" applyNumberFormat="1" applyFont="1" applyFill="1"/>
    <xf numFmtId="1" fontId="16" fillId="9" borderId="0" xfId="0" applyNumberFormat="1" applyFont="1" applyFill="1"/>
    <xf numFmtId="3" fontId="19" fillId="0" borderId="1" xfId="0" applyNumberFormat="1" applyFont="1" applyFill="1" applyBorder="1" applyAlignment="1">
      <alignment horizontal="right"/>
    </xf>
    <xf numFmtId="14" fontId="16" fillId="0" borderId="0" xfId="0" applyNumberFormat="1" applyFont="1" applyBorder="1"/>
    <xf numFmtId="3" fontId="16" fillId="0" borderId="0" xfId="0" applyNumberFormat="1" applyFont="1" applyBorder="1"/>
    <xf numFmtId="14" fontId="16" fillId="0" borderId="0" xfId="0" applyNumberFormat="1" applyFont="1" applyFill="1" applyBorder="1"/>
    <xf numFmtId="3" fontId="16" fillId="0" borderId="0" xfId="0" applyNumberFormat="1" applyFont="1" applyFill="1" applyBorder="1"/>
    <xf numFmtId="14" fontId="16" fillId="0" borderId="0" xfId="0" applyNumberFormat="1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13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8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48" fillId="6" borderId="1" xfId="0" applyFont="1" applyFill="1" applyBorder="1"/>
    <xf numFmtId="0" fontId="50" fillId="6" borderId="1" xfId="0" applyFont="1" applyFill="1" applyBorder="1" applyAlignment="1"/>
    <xf numFmtId="0" fontId="16" fillId="6" borderId="1" xfId="0" applyFont="1" applyFill="1" applyBorder="1"/>
    <xf numFmtId="0" fontId="19" fillId="6" borderId="1" xfId="0" applyFont="1" applyFill="1" applyBorder="1"/>
    <xf numFmtId="164" fontId="16" fillId="6" borderId="0" xfId="0" applyNumberFormat="1" applyFont="1" applyFill="1"/>
    <xf numFmtId="0" fontId="19" fillId="6" borderId="0" xfId="0" applyFont="1" applyFill="1"/>
    <xf numFmtId="164" fontId="19" fillId="6" borderId="0" xfId="0" applyNumberFormat="1" applyFont="1" applyFill="1"/>
    <xf numFmtId="164" fontId="19" fillId="6" borderId="1" xfId="0" applyNumberFormat="1" applyFont="1" applyFill="1" applyBorder="1"/>
    <xf numFmtId="0" fontId="13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right"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horizontal="right" vertical="center"/>
    </xf>
    <xf numFmtId="0" fontId="14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right" vertical="center"/>
    </xf>
    <xf numFmtId="0" fontId="14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0" fontId="16" fillId="0" borderId="0" xfId="48" applyFont="1"/>
    <xf numFmtId="0" fontId="19" fillId="0" borderId="0" xfId="48" applyFont="1"/>
    <xf numFmtId="164" fontId="16" fillId="0" borderId="0" xfId="48" applyNumberFormat="1" applyFont="1"/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 applyBorder="1" applyAlignment="1">
      <alignment horizontal="center" vertical="center"/>
    </xf>
    <xf numFmtId="0" fontId="48" fillId="0" borderId="17" xfId="4" applyFont="1" applyFill="1" applyBorder="1" applyAlignment="1">
      <alignment vertical="center"/>
    </xf>
    <xf numFmtId="0" fontId="50" fillId="0" borderId="17" xfId="4" applyFont="1" applyFill="1" applyBorder="1" applyAlignment="1">
      <alignment horizontal="center" vertical="center"/>
    </xf>
    <xf numFmtId="0" fontId="16" fillId="0" borderId="26" xfId="0" applyFont="1" applyBorder="1"/>
    <xf numFmtId="0" fontId="53" fillId="0" borderId="26" xfId="0" applyFont="1" applyBorder="1"/>
    <xf numFmtId="0" fontId="16" fillId="6" borderId="0" xfId="33" applyFont="1" applyFill="1"/>
    <xf numFmtId="164" fontId="14" fillId="6" borderId="3" xfId="33" applyNumberFormat="1" applyFont="1" applyFill="1" applyBorder="1" applyAlignment="1">
      <alignment horizontal="center" vertical="center"/>
    </xf>
    <xf numFmtId="0" fontId="14" fillId="6" borderId="3" xfId="33" applyFont="1" applyFill="1" applyBorder="1" applyAlignment="1">
      <alignment horizontal="center" vertical="center"/>
    </xf>
    <xf numFmtId="2" fontId="16" fillId="6" borderId="0" xfId="33" applyNumberFormat="1" applyFont="1" applyFill="1"/>
    <xf numFmtId="164" fontId="14" fillId="6" borderId="0" xfId="33" applyNumberFormat="1" applyFont="1" applyFill="1" applyAlignment="1">
      <alignment horizontal="center" vertical="center"/>
    </xf>
    <xf numFmtId="0" fontId="14" fillId="6" borderId="0" xfId="33" applyFont="1" applyFill="1" applyAlignment="1">
      <alignment horizontal="center" vertical="center"/>
    </xf>
    <xf numFmtId="164" fontId="14" fillId="6" borderId="1" xfId="33" applyNumberFormat="1" applyFont="1" applyFill="1" applyBorder="1" applyAlignment="1">
      <alignment horizontal="center" vertical="center"/>
    </xf>
    <xf numFmtId="0" fontId="14" fillId="6" borderId="1" xfId="33" applyFont="1" applyFill="1" applyBorder="1" applyAlignment="1">
      <alignment horizontal="center" vertical="center"/>
    </xf>
    <xf numFmtId="0" fontId="13" fillId="6" borderId="1" xfId="33" applyFont="1" applyFill="1" applyBorder="1" applyAlignment="1">
      <alignment horizontal="center" vertical="center"/>
    </xf>
    <xf numFmtId="0" fontId="14" fillId="6" borderId="0" xfId="33" applyFont="1" applyFill="1"/>
    <xf numFmtId="0" fontId="14" fillId="6" borderId="39" xfId="33" applyFont="1" applyFill="1" applyBorder="1" applyAlignment="1">
      <alignment horizontal="center" vertical="center" wrapText="1"/>
    </xf>
    <xf numFmtId="0" fontId="14" fillId="6" borderId="39" xfId="33" applyFont="1" applyFill="1" applyBorder="1" applyAlignment="1">
      <alignment vertical="center" wrapText="1"/>
    </xf>
    <xf numFmtId="0" fontId="16" fillId="6" borderId="39" xfId="33" applyFont="1" applyFill="1" applyBorder="1"/>
    <xf numFmtId="0" fontId="29" fillId="6" borderId="0" xfId="33" applyFont="1" applyFill="1" applyAlignment="1"/>
    <xf numFmtId="0" fontId="14" fillId="6" borderId="36" xfId="33" applyFont="1" applyFill="1" applyBorder="1" applyAlignment="1">
      <alignment vertical="center" wrapText="1"/>
    </xf>
    <xf numFmtId="0" fontId="14" fillId="6" borderId="36" xfId="33" applyFont="1" applyFill="1" applyBorder="1" applyAlignment="1">
      <alignment horizontal="center" vertical="center" wrapText="1"/>
    </xf>
    <xf numFmtId="2" fontId="14" fillId="6" borderId="36" xfId="36" applyNumberFormat="1" applyFont="1" applyFill="1" applyBorder="1" applyAlignment="1">
      <alignment vertical="center"/>
    </xf>
    <xf numFmtId="43" fontId="14" fillId="6" borderId="36" xfId="33" applyNumberFormat="1" applyFont="1" applyFill="1" applyBorder="1" applyAlignment="1">
      <alignment horizontal="center" vertical="center"/>
    </xf>
    <xf numFmtId="0" fontId="54" fillId="0" borderId="17" xfId="0" applyFont="1" applyBorder="1"/>
    <xf numFmtId="0" fontId="16" fillId="6" borderId="17" xfId="33" applyFont="1" applyFill="1" applyBorder="1"/>
    <xf numFmtId="2" fontId="14" fillId="6" borderId="39" xfId="36" applyNumberFormat="1" applyFont="1" applyFill="1" applyBorder="1" applyAlignment="1">
      <alignment vertical="center"/>
    </xf>
    <xf numFmtId="43" fontId="14" fillId="6" borderId="39" xfId="33" applyNumberFormat="1" applyFont="1" applyFill="1" applyBorder="1" applyAlignment="1">
      <alignment horizontal="center" vertical="center"/>
    </xf>
    <xf numFmtId="0" fontId="14" fillId="6" borderId="0" xfId="33" applyFont="1" applyFill="1" applyAlignment="1">
      <alignment vertical="center"/>
    </xf>
    <xf numFmtId="43" fontId="16" fillId="6" borderId="0" xfId="33" applyNumberFormat="1" applyFont="1" applyFill="1"/>
    <xf numFmtId="0" fontId="14" fillId="6" borderId="39" xfId="33" applyFont="1" applyFill="1" applyBorder="1" applyAlignment="1">
      <alignment horizontal="center" vertical="center"/>
    </xf>
    <xf numFmtId="2" fontId="16" fillId="6" borderId="39" xfId="33" applyNumberFormat="1" applyFont="1" applyFill="1" applyBorder="1"/>
    <xf numFmtId="0" fontId="19" fillId="0" borderId="0" xfId="0" applyFont="1" applyBorder="1"/>
    <xf numFmtId="0" fontId="16" fillId="0" borderId="0" xfId="0" applyFont="1" applyBorder="1" applyAlignment="1"/>
    <xf numFmtId="0" fontId="19" fillId="14" borderId="0" xfId="49" applyFont="1" applyFill="1" applyBorder="1" applyAlignment="1">
      <alignment horizontal="center"/>
    </xf>
    <xf numFmtId="0" fontId="19" fillId="15" borderId="0" xfId="49" applyFont="1" applyFill="1" applyBorder="1" applyAlignment="1">
      <alignment horizontal="center"/>
    </xf>
    <xf numFmtId="0" fontId="19" fillId="0" borderId="0" xfId="49" applyFont="1" applyFill="1" applyBorder="1" applyAlignment="1">
      <alignment horizontal="center"/>
    </xf>
    <xf numFmtId="2" fontId="32" fillId="15" borderId="0" xfId="49" applyNumberFormat="1" applyFont="1" applyFill="1" applyBorder="1" applyAlignment="1">
      <alignment horizontal="center"/>
    </xf>
    <xf numFmtId="177" fontId="16" fillId="14" borderId="0" xfId="0" applyNumberFormat="1" applyFont="1" applyFill="1" applyBorder="1" applyAlignment="1">
      <alignment horizontal="center"/>
    </xf>
    <xf numFmtId="177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/>
    <xf numFmtId="2" fontId="32" fillId="15" borderId="0" xfId="49" applyNumberFormat="1" applyFont="1" applyFill="1" applyBorder="1" applyAlignment="1">
      <alignment horizontal="left"/>
    </xf>
    <xf numFmtId="1" fontId="16" fillId="0" borderId="0" xfId="0" applyNumberFormat="1" applyFont="1" applyFill="1" applyBorder="1" applyAlignment="1"/>
    <xf numFmtId="0" fontId="19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2" fontId="32" fillId="0" borderId="0" xfId="49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48" fillId="0" borderId="0" xfId="0" applyFont="1"/>
    <xf numFmtId="0" fontId="16" fillId="0" borderId="0" xfId="33" applyFont="1" applyFill="1" applyBorder="1"/>
    <xf numFmtId="0" fontId="16" fillId="0" borderId="0" xfId="33" applyFont="1" applyBorder="1"/>
    <xf numFmtId="0" fontId="48" fillId="0" borderId="17" xfId="33" applyFont="1" applyFill="1" applyBorder="1"/>
    <xf numFmtId="0" fontId="48" fillId="0" borderId="17" xfId="33" applyFont="1" applyFill="1" applyBorder="1" applyAlignment="1">
      <alignment wrapText="1"/>
    </xf>
    <xf numFmtId="0" fontId="19" fillId="0" borderId="23" xfId="33" applyFont="1" applyFill="1" applyBorder="1" applyAlignment="1">
      <alignment horizontal="center" vertical="center"/>
    </xf>
    <xf numFmtId="0" fontId="19" fillId="0" borderId="25" xfId="33" applyFont="1" applyFill="1" applyBorder="1" applyAlignment="1">
      <alignment horizontal="center" vertical="center"/>
    </xf>
    <xf numFmtId="0" fontId="16" fillId="0" borderId="0" xfId="33" applyFont="1" applyFill="1" applyBorder="1" applyAlignment="1">
      <alignment wrapText="1"/>
    </xf>
    <xf numFmtId="0" fontId="16" fillId="0" borderId="0" xfId="33" applyFont="1" applyFill="1" applyBorder="1" applyAlignment="1">
      <alignment horizontal="center" vertical="center"/>
    </xf>
    <xf numFmtId="1" fontId="16" fillId="0" borderId="0" xfId="33" applyNumberFormat="1" applyFont="1" applyFill="1" applyBorder="1" applyAlignment="1">
      <alignment horizontal="center" vertical="center"/>
    </xf>
    <xf numFmtId="1" fontId="16" fillId="0" borderId="21" xfId="3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33" applyFont="1" applyFill="1" applyBorder="1" applyAlignment="1">
      <alignment horizontal="center" vertical="center"/>
    </xf>
    <xf numFmtId="1" fontId="28" fillId="0" borderId="0" xfId="33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1" fontId="28" fillId="0" borderId="21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/>
    </xf>
    <xf numFmtId="3" fontId="28" fillId="0" borderId="21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 wrapText="1"/>
    </xf>
    <xf numFmtId="3" fontId="28" fillId="0" borderId="2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3" fontId="16" fillId="0" borderId="0" xfId="33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vertical="center" wrapText="1"/>
    </xf>
    <xf numFmtId="0" fontId="14" fillId="0" borderId="17" xfId="33" applyFont="1" applyFill="1" applyBorder="1" applyAlignment="1">
      <alignment horizontal="center" vertical="center"/>
    </xf>
    <xf numFmtId="1" fontId="16" fillId="0" borderId="17" xfId="33" applyNumberFormat="1" applyFont="1" applyFill="1" applyBorder="1" applyAlignment="1">
      <alignment horizontal="center" vertical="center"/>
    </xf>
    <xf numFmtId="1" fontId="28" fillId="0" borderId="17" xfId="33" applyNumberFormat="1" applyFont="1" applyFill="1" applyBorder="1" applyAlignment="1">
      <alignment horizontal="center" vertic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28" fillId="0" borderId="22" xfId="0" applyNumberFormat="1" applyFont="1" applyFill="1" applyBorder="1" applyAlignment="1">
      <alignment horizontal="center" vertical="center" wrapText="1"/>
    </xf>
    <xf numFmtId="1" fontId="28" fillId="0" borderId="17" xfId="0" applyNumberFormat="1" applyFont="1" applyFill="1" applyBorder="1" applyAlignment="1">
      <alignment horizontal="center" vertical="center"/>
    </xf>
    <xf numFmtId="0" fontId="16" fillId="0" borderId="17" xfId="33" applyFont="1" applyFill="1" applyBorder="1" applyAlignment="1">
      <alignment horizontal="center" vertical="center"/>
    </xf>
    <xf numFmtId="3" fontId="16" fillId="0" borderId="17" xfId="33" applyNumberFormat="1" applyFont="1" applyFill="1" applyBorder="1" applyAlignment="1">
      <alignment horizontal="center" vertical="center"/>
    </xf>
    <xf numFmtId="0" fontId="19" fillId="0" borderId="23" xfId="33" applyFont="1" applyFill="1" applyBorder="1"/>
    <xf numFmtId="1" fontId="19" fillId="0" borderId="23" xfId="33" applyNumberFormat="1" applyFont="1" applyFill="1" applyBorder="1" applyAlignment="1">
      <alignment horizontal="center" vertical="center"/>
    </xf>
    <xf numFmtId="1" fontId="19" fillId="0" borderId="25" xfId="33" applyNumberFormat="1" applyFont="1" applyFill="1" applyBorder="1" applyAlignment="1">
      <alignment horizontal="center" vertical="center"/>
    </xf>
    <xf numFmtId="3" fontId="16" fillId="0" borderId="0" xfId="0" applyNumberFormat="1" applyFont="1"/>
    <xf numFmtId="165" fontId="16" fillId="0" borderId="0" xfId="2" applyNumberFormat="1" applyFont="1" applyFill="1" applyBorder="1"/>
    <xf numFmtId="43" fontId="28" fillId="0" borderId="0" xfId="4" applyNumberFormat="1" applyFont="1" applyFill="1" applyBorder="1" applyAlignment="1">
      <alignment horizontal="left" vertical="center"/>
    </xf>
    <xf numFmtId="0" fontId="48" fillId="0" borderId="0" xfId="4" applyFont="1" applyFill="1" applyAlignment="1">
      <alignment vertical="center"/>
    </xf>
    <xf numFmtId="0" fontId="48" fillId="0" borderId="0" xfId="4" applyFont="1" applyFill="1" applyBorder="1" applyAlignment="1">
      <alignment vertical="center"/>
    </xf>
    <xf numFmtId="0" fontId="19" fillId="0" borderId="27" xfId="0" applyFont="1" applyFill="1" applyBorder="1" applyAlignment="1">
      <alignment horizontal="left" indent="1"/>
    </xf>
    <xf numFmtId="1" fontId="19" fillId="0" borderId="0" xfId="0" applyNumberFormat="1" applyFont="1" applyFill="1" applyBorder="1" applyAlignment="1">
      <alignment horizontal="center"/>
    </xf>
    <xf numFmtId="2" fontId="19" fillId="0" borderId="26" xfId="0" applyNumberFormat="1" applyFont="1" applyFill="1" applyBorder="1" applyAlignment="1">
      <alignment horizontal="center"/>
    </xf>
    <xf numFmtId="0" fontId="55" fillId="0" borderId="17" xfId="0" applyFont="1" applyBorder="1"/>
    <xf numFmtId="0" fontId="13" fillId="6" borderId="1" xfId="33" applyFont="1" applyFill="1" applyBorder="1" applyAlignment="1">
      <alignment vertical="center"/>
    </xf>
    <xf numFmtId="0" fontId="13" fillId="6" borderId="1" xfId="33" applyFont="1" applyFill="1" applyBorder="1" applyAlignment="1">
      <alignment horizontal="center" vertical="center" wrapText="1"/>
    </xf>
    <xf numFmtId="0" fontId="13" fillId="6" borderId="2" xfId="33" applyFont="1" applyFill="1" applyBorder="1" applyAlignment="1">
      <alignment horizontal="center" vertical="center"/>
    </xf>
    <xf numFmtId="0" fontId="13" fillId="6" borderId="40" xfId="33" applyFont="1" applyFill="1" applyBorder="1" applyAlignment="1">
      <alignment horizontal="center" vertical="center"/>
    </xf>
    <xf numFmtId="0" fontId="14" fillId="6" borderId="1" xfId="33" applyFont="1" applyFill="1" applyBorder="1" applyAlignment="1">
      <alignment horizontal="center" vertical="center" wrapText="1"/>
    </xf>
    <xf numFmtId="0" fontId="14" fillId="6" borderId="0" xfId="33" applyFont="1" applyFill="1" applyAlignment="1">
      <alignment horizontal="center" vertical="center" wrapText="1"/>
    </xf>
    <xf numFmtId="164" fontId="56" fillId="6" borderId="0" xfId="33" applyNumberFormat="1" applyFont="1" applyFill="1" applyAlignment="1">
      <alignment horizontal="center" vertical="center"/>
    </xf>
    <xf numFmtId="2" fontId="14" fillId="6" borderId="0" xfId="33" applyNumberFormat="1" applyFont="1" applyFill="1" applyAlignment="1">
      <alignment horizontal="center" vertical="center"/>
    </xf>
    <xf numFmtId="0" fontId="14" fillId="6" borderId="1" xfId="33" applyFont="1" applyFill="1" applyBorder="1" applyAlignment="1">
      <alignment vertical="center"/>
    </xf>
    <xf numFmtId="164" fontId="56" fillId="6" borderId="1" xfId="33" applyNumberFormat="1" applyFont="1" applyFill="1" applyBorder="1" applyAlignment="1">
      <alignment horizontal="center" vertical="center"/>
    </xf>
    <xf numFmtId="164" fontId="13" fillId="6" borderId="1" xfId="33" applyNumberFormat="1" applyFont="1" applyFill="1" applyBorder="1" applyAlignment="1">
      <alignment horizontal="center" vertical="center"/>
    </xf>
    <xf numFmtId="164" fontId="57" fillId="6" borderId="1" xfId="33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16" fillId="0" borderId="17" xfId="0" applyFont="1" applyBorder="1" applyAlignment="1"/>
    <xf numFmtId="0" fontId="58" fillId="0" borderId="0" xfId="0" applyFont="1" applyAlignment="1"/>
    <xf numFmtId="0" fontId="28" fillId="6" borderId="0" xfId="37" applyNumberFormat="1" applyFont="1" applyFill="1" applyBorder="1" applyAlignment="1"/>
    <xf numFmtId="0" fontId="28" fillId="6" borderId="0" xfId="37" applyFont="1" applyFill="1"/>
    <xf numFmtId="0" fontId="59" fillId="6" borderId="17" xfId="37" applyFont="1" applyFill="1" applyBorder="1"/>
    <xf numFmtId="0" fontId="28" fillId="6" borderId="17" xfId="37" applyFont="1" applyFill="1" applyBorder="1"/>
    <xf numFmtId="0" fontId="28" fillId="6" borderId="39" xfId="37" applyNumberFormat="1" applyFont="1" applyFill="1" applyBorder="1" applyAlignment="1"/>
    <xf numFmtId="166" fontId="28" fillId="6" borderId="39" xfId="37" applyNumberFormat="1" applyFont="1" applyFill="1" applyBorder="1" applyAlignment="1"/>
    <xf numFmtId="164" fontId="28" fillId="6" borderId="39" xfId="37" applyNumberFormat="1" applyFont="1" applyFill="1" applyBorder="1"/>
    <xf numFmtId="166" fontId="28" fillId="6" borderId="39" xfId="37" applyNumberFormat="1" applyFont="1" applyFill="1" applyBorder="1"/>
    <xf numFmtId="0" fontId="28" fillId="6" borderId="39" xfId="37" applyFont="1" applyFill="1" applyBorder="1"/>
    <xf numFmtId="0" fontId="28" fillId="6" borderId="0" xfId="37" applyFont="1" applyFill="1" applyBorder="1"/>
    <xf numFmtId="0" fontId="45" fillId="0" borderId="1" xfId="40" applyFont="1" applyBorder="1" applyAlignment="1"/>
    <xf numFmtId="0" fontId="45" fillId="0" borderId="0" xfId="40" applyFont="1" applyBorder="1" applyAlignment="1"/>
    <xf numFmtId="0" fontId="29" fillId="0" borderId="26" xfId="40" applyFont="1" applyFill="1" applyBorder="1" applyAlignment="1">
      <alignment horizontal="left"/>
    </xf>
    <xf numFmtId="0" fontId="29" fillId="0" borderId="0" xfId="40" applyFont="1" applyFill="1" applyBorder="1" applyAlignment="1">
      <alignment horizontal="left" wrapText="1"/>
    </xf>
    <xf numFmtId="0" fontId="29" fillId="0" borderId="0" xfId="40" applyFont="1" applyFill="1" applyBorder="1" applyAlignment="1">
      <alignment horizontal="left"/>
    </xf>
    <xf numFmtId="176" fontId="16" fillId="0" borderId="0" xfId="0" applyNumberFormat="1" applyFont="1" applyFill="1"/>
    <xf numFmtId="0" fontId="16" fillId="0" borderId="26" xfId="0" applyFont="1" applyFill="1" applyBorder="1" applyAlignment="1">
      <alignment horizontal="center"/>
    </xf>
    <xf numFmtId="0" fontId="16" fillId="0" borderId="26" xfId="0" applyFont="1" applyFill="1" applyBorder="1"/>
    <xf numFmtId="176" fontId="16" fillId="0" borderId="0" xfId="0" applyNumberFormat="1" applyFont="1" applyFill="1" applyBorder="1"/>
    <xf numFmtId="176" fontId="16" fillId="0" borderId="17" xfId="0" applyNumberFormat="1" applyFont="1" applyFill="1" applyBorder="1"/>
    <xf numFmtId="0" fontId="13" fillId="0" borderId="1" xfId="0" applyFont="1" applyBorder="1" applyAlignment="1">
      <alignment horizontal="left" vertical="center" indent="15"/>
    </xf>
    <xf numFmtId="1" fontId="47" fillId="0" borderId="0" xfId="20" applyNumberFormat="1" applyFont="1"/>
    <xf numFmtId="1" fontId="16" fillId="0" borderId="0" xfId="20" applyNumberFormat="1" applyFont="1"/>
    <xf numFmtId="0" fontId="28" fillId="0" borderId="26" xfId="4" applyFont="1" applyFill="1" applyBorder="1" applyAlignment="1">
      <alignment horizontal="left" vertical="center" wrapText="1" indent="1"/>
    </xf>
    <xf numFmtId="0" fontId="28" fillId="0" borderId="0" xfId="4" applyFont="1" applyFill="1" applyBorder="1" applyAlignment="1">
      <alignment horizontal="left" vertical="center" wrapText="1" indent="1"/>
    </xf>
    <xf numFmtId="0" fontId="28" fillId="0" borderId="17" xfId="4" applyFont="1" applyFill="1" applyBorder="1" applyAlignment="1">
      <alignment horizontal="left" vertical="center" wrapText="1" indent="1"/>
    </xf>
    <xf numFmtId="0" fontId="21" fillId="0" borderId="0" xfId="0" applyFont="1" applyBorder="1" applyAlignment="1">
      <alignment vertical="center"/>
    </xf>
    <xf numFmtId="0" fontId="21" fillId="0" borderId="3" xfId="0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16" fillId="0" borderId="17" xfId="48" applyFont="1" applyBorder="1"/>
    <xf numFmtId="0" fontId="19" fillId="0" borderId="17" xfId="48" applyFont="1" applyBorder="1"/>
    <xf numFmtId="164" fontId="16" fillId="0" borderId="17" xfId="48" applyNumberFormat="1" applyFont="1" applyBorder="1"/>
    <xf numFmtId="0" fontId="47" fillId="0" borderId="0" xfId="48" applyFont="1" applyBorder="1"/>
    <xf numFmtId="0" fontId="60" fillId="0" borderId="0" xfId="48" applyFont="1" applyBorder="1" applyAlignment="1">
      <alignment horizontal="right"/>
    </xf>
    <xf numFmtId="164" fontId="47" fillId="0" borderId="0" xfId="48" applyNumberFormat="1" applyFont="1" applyBorder="1"/>
    <xf numFmtId="0" fontId="14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20" fillId="0" borderId="3" xfId="0" applyFont="1" applyBorder="1" applyAlignment="1">
      <alignment vertical="center"/>
    </xf>
    <xf numFmtId="0" fontId="20" fillId="0" borderId="16" xfId="0" applyFont="1" applyBorder="1" applyAlignment="1">
      <alignment horizontal="right" vertical="center" wrapText="1"/>
    </xf>
    <xf numFmtId="0" fontId="32" fillId="0" borderId="0" xfId="0" applyFont="1" applyFill="1" applyBorder="1" applyAlignment="1">
      <alignment horizontal="center" vertical="center"/>
    </xf>
    <xf numFmtId="3" fontId="32" fillId="0" borderId="0" xfId="0" applyNumberFormat="1" applyFont="1" applyFill="1" applyBorder="1" applyAlignment="1">
      <alignment horizontal="center" vertical="center"/>
    </xf>
    <xf numFmtId="0" fontId="48" fillId="0" borderId="0" xfId="0" applyFont="1" applyBorder="1" applyAlignment="1">
      <alignment vertical="center" wrapText="1"/>
    </xf>
    <xf numFmtId="2" fontId="16" fillId="0" borderId="0" xfId="0" applyNumberFormat="1" applyFont="1" applyAlignment="1">
      <alignment horizontal="left"/>
    </xf>
    <xf numFmtId="0" fontId="16" fillId="0" borderId="17" xfId="0" applyFont="1" applyBorder="1" applyAlignment="1">
      <alignment horizontal="right"/>
    </xf>
    <xf numFmtId="0" fontId="20" fillId="0" borderId="16" xfId="0" applyFont="1" applyBorder="1" applyAlignment="1">
      <alignment vertical="center"/>
    </xf>
    <xf numFmtId="0" fontId="20" fillId="0" borderId="16" xfId="0" applyFont="1" applyBorder="1" applyAlignment="1">
      <alignment vertical="center" wrapText="1"/>
    </xf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right"/>
    </xf>
    <xf numFmtId="0" fontId="48" fillId="0" borderId="1" xfId="0" applyFont="1" applyBorder="1"/>
    <xf numFmtId="3" fontId="19" fillId="0" borderId="0" xfId="0" applyNumberFormat="1" applyFont="1" applyFill="1" applyBorder="1" applyAlignment="1">
      <alignment horizontal="right"/>
    </xf>
    <xf numFmtId="0" fontId="16" fillId="0" borderId="17" xfId="0" applyFont="1" applyFill="1" applyBorder="1"/>
    <xf numFmtId="164" fontId="16" fillId="0" borderId="17" xfId="0" applyNumberFormat="1" applyFont="1" applyFill="1" applyBorder="1"/>
    <xf numFmtId="1" fontId="16" fillId="0" borderId="17" xfId="0" applyNumberFormat="1" applyFont="1" applyFill="1" applyBorder="1"/>
    <xf numFmtId="1" fontId="16" fillId="9" borderId="17" xfId="0" applyNumberFormat="1" applyFont="1" applyFill="1" applyBorder="1"/>
    <xf numFmtId="0" fontId="45" fillId="0" borderId="1" xfId="0" applyFont="1" applyBorder="1"/>
    <xf numFmtId="2" fontId="16" fillId="0" borderId="0" xfId="0" applyNumberFormat="1" applyFont="1" applyAlignment="1">
      <alignment horizontal="right" vertical="center" wrapText="1"/>
    </xf>
    <xf numFmtId="0" fontId="28" fillId="0" borderId="1" xfId="0" applyFont="1" applyFill="1" applyBorder="1" applyAlignment="1">
      <alignment horizontal="left"/>
    </xf>
    <xf numFmtId="2" fontId="16" fillId="0" borderId="1" xfId="0" applyNumberFormat="1" applyFont="1" applyBorder="1" applyAlignment="1">
      <alignment horizontal="right" vertical="center" wrapText="1"/>
    </xf>
    <xf numFmtId="0" fontId="4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indent="1"/>
    </xf>
    <xf numFmtId="173" fontId="16" fillId="0" borderId="0" xfId="0" applyNumberFormat="1" applyFont="1"/>
    <xf numFmtId="0" fontId="14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/>
    </xf>
    <xf numFmtId="0" fontId="19" fillId="6" borderId="0" xfId="0" applyFont="1" applyFill="1" applyBorder="1"/>
    <xf numFmtId="0" fontId="16" fillId="6" borderId="26" xfId="0" applyFont="1" applyFill="1" applyBorder="1"/>
    <xf numFmtId="2" fontId="16" fillId="6" borderId="26" xfId="0" applyNumberFormat="1" applyFont="1" applyFill="1" applyBorder="1"/>
    <xf numFmtId="2" fontId="16" fillId="0" borderId="26" xfId="0" applyNumberFormat="1" applyFont="1" applyBorder="1"/>
    <xf numFmtId="0" fontId="16" fillId="6" borderId="17" xfId="0" applyFont="1" applyFill="1" applyBorder="1"/>
    <xf numFmtId="2" fontId="16" fillId="6" borderId="17" xfId="0" applyNumberFormat="1" applyFont="1" applyFill="1" applyBorder="1"/>
    <xf numFmtId="2" fontId="16" fillId="0" borderId="17" xfId="0" applyNumberFormat="1" applyFont="1" applyBorder="1"/>
    <xf numFmtId="2" fontId="16" fillId="6" borderId="0" xfId="0" applyNumberFormat="1" applyFont="1" applyFill="1"/>
    <xf numFmtId="4" fontId="16" fillId="0" borderId="0" xfId="0" applyNumberFormat="1" applyFont="1"/>
    <xf numFmtId="4" fontId="13" fillId="0" borderId="0" xfId="0" applyNumberFormat="1" applyFont="1" applyBorder="1" applyAlignment="1">
      <alignment horizontal="center" vertical="center"/>
    </xf>
    <xf numFmtId="0" fontId="39" fillId="0" borderId="30" xfId="6" applyFont="1" applyBorder="1"/>
    <xf numFmtId="0" fontId="16" fillId="0" borderId="17" xfId="6" applyFont="1" applyBorder="1"/>
    <xf numFmtId="0" fontId="16" fillId="0" borderId="0" xfId="6" applyFont="1" applyAlignment="1">
      <alignment vertical="center" wrapText="1"/>
    </xf>
    <xf numFmtId="2" fontId="29" fillId="0" borderId="0" xfId="6" applyNumberFormat="1" applyFont="1" applyAlignment="1">
      <alignment horizontal="center" vertical="center" wrapText="1"/>
    </xf>
    <xf numFmtId="1" fontId="29" fillId="0" borderId="0" xfId="6" applyNumberFormat="1" applyFont="1" applyAlignment="1">
      <alignment horizontal="center" vertical="center" wrapText="1"/>
    </xf>
    <xf numFmtId="0" fontId="16" fillId="0" borderId="23" xfId="6" applyFont="1" applyBorder="1" applyAlignment="1">
      <alignment vertical="center" wrapText="1"/>
    </xf>
    <xf numFmtId="2" fontId="29" fillId="0" borderId="23" xfId="6" applyNumberFormat="1" applyFont="1" applyBorder="1" applyAlignment="1">
      <alignment horizontal="center" vertical="center" wrapText="1"/>
    </xf>
    <xf numFmtId="1" fontId="29" fillId="0" borderId="23" xfId="6" applyNumberFormat="1" applyFont="1" applyBorder="1" applyAlignment="1">
      <alignment horizontal="center" vertical="center" wrapText="1"/>
    </xf>
    <xf numFmtId="1" fontId="16" fillId="0" borderId="0" xfId="0" applyNumberFormat="1" applyFont="1"/>
    <xf numFmtId="0" fontId="19" fillId="0" borderId="17" xfId="16" applyFont="1" applyFill="1" applyBorder="1" applyAlignment="1">
      <alignment vertical="top" wrapText="1"/>
    </xf>
    <xf numFmtId="0" fontId="19" fillId="0" borderId="17" xfId="16" applyFont="1" applyFill="1" applyBorder="1" applyAlignment="1">
      <alignment horizontal="right" vertical="top" wrapText="1"/>
    </xf>
    <xf numFmtId="0" fontId="19" fillId="0" borderId="17" xfId="16" applyFont="1" applyFill="1" applyBorder="1" applyAlignment="1">
      <alignment wrapText="1"/>
    </xf>
    <xf numFmtId="0" fontId="19" fillId="0" borderId="17" xfId="16" applyFont="1" applyFill="1" applyBorder="1" applyAlignment="1">
      <alignment horizontal="right" wrapText="1"/>
    </xf>
    <xf numFmtId="0" fontId="32" fillId="0" borderId="0" xfId="16" applyFont="1" applyFill="1" applyBorder="1"/>
    <xf numFmtId="166" fontId="19" fillId="0" borderId="0" xfId="16" applyNumberFormat="1" applyFont="1" applyFill="1" applyBorder="1"/>
    <xf numFmtId="3" fontId="16" fillId="0" borderId="0" xfId="16" applyNumberFormat="1" applyFont="1" applyFill="1" applyBorder="1" applyProtection="1">
      <protection locked="0"/>
    </xf>
    <xf numFmtId="0" fontId="28" fillId="0" borderId="0" xfId="16" applyFont="1" applyFill="1" applyBorder="1"/>
    <xf numFmtId="166" fontId="16" fillId="0" borderId="0" xfId="16" applyNumberFormat="1" applyFont="1" applyFill="1" applyBorder="1"/>
    <xf numFmtId="0" fontId="32" fillId="0" borderId="1" xfId="16" applyFont="1" applyFill="1" applyBorder="1"/>
    <xf numFmtId="166" fontId="16" fillId="0" borderId="1" xfId="16" applyNumberFormat="1" applyFont="1" applyFill="1" applyBorder="1"/>
    <xf numFmtId="3" fontId="16" fillId="0" borderId="1" xfId="16" applyNumberFormat="1" applyFont="1" applyFill="1" applyBorder="1" applyProtection="1">
      <protection locked="0"/>
    </xf>
    <xf numFmtId="0" fontId="16" fillId="0" borderId="0" xfId="0" applyFont="1" applyAlignment="1">
      <alignment horizontal="right"/>
    </xf>
    <xf numFmtId="0" fontId="28" fillId="0" borderId="0" xfId="0" applyFont="1" applyAlignment="1">
      <alignment wrapText="1"/>
    </xf>
    <xf numFmtId="9" fontId="32" fillId="0" borderId="0" xfId="2" applyFont="1"/>
    <xf numFmtId="9" fontId="28" fillId="0" borderId="0" xfId="2" applyFont="1"/>
    <xf numFmtId="0" fontId="16" fillId="0" borderId="0" xfId="0" applyFont="1" applyAlignment="1">
      <alignment horizontal="right" indent="1"/>
    </xf>
    <xf numFmtId="3" fontId="32" fillId="0" borderId="0" xfId="16" applyNumberFormat="1" applyFont="1" applyFill="1" applyBorder="1"/>
    <xf numFmtId="3" fontId="62" fillId="0" borderId="0" xfId="16" applyNumberFormat="1" applyFont="1" applyFill="1" applyBorder="1" applyProtection="1">
      <protection locked="0"/>
    </xf>
    <xf numFmtId="3" fontId="28" fillId="0" borderId="0" xfId="16" applyNumberFormat="1" applyFont="1" applyFill="1" applyBorder="1" applyProtection="1">
      <protection locked="0"/>
    </xf>
    <xf numFmtId="3" fontId="28" fillId="0" borderId="0" xfId="16" applyNumberFormat="1" applyFont="1" applyFill="1" applyBorder="1"/>
    <xf numFmtId="3" fontId="32" fillId="0" borderId="1" xfId="16" applyNumberFormat="1" applyFont="1" applyFill="1" applyBorder="1"/>
    <xf numFmtId="3" fontId="62" fillId="0" borderId="1" xfId="16" applyNumberFormat="1" applyFont="1" applyFill="1" applyBorder="1" applyProtection="1">
      <protection locked="0"/>
    </xf>
    <xf numFmtId="3" fontId="28" fillId="0" borderId="1" xfId="16" applyNumberFormat="1" applyFont="1" applyFill="1" applyBorder="1" applyProtection="1">
      <protection locked="0"/>
    </xf>
    <xf numFmtId="0" fontId="14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164" fontId="13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 indent="1"/>
    </xf>
    <xf numFmtId="164" fontId="14" fillId="2" borderId="0" xfId="0" applyNumberFormat="1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 indent="1"/>
    </xf>
    <xf numFmtId="164" fontId="14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 wrapText="1"/>
    </xf>
    <xf numFmtId="164" fontId="13" fillId="8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64" fontId="13" fillId="7" borderId="0" xfId="0" applyNumberFormat="1" applyFont="1" applyFill="1" applyAlignment="1">
      <alignment horizontal="center" vertical="center"/>
    </xf>
    <xf numFmtId="164" fontId="13" fillId="7" borderId="0" xfId="0" applyNumberFormat="1" applyFont="1" applyFill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/>
    </xf>
    <xf numFmtId="164" fontId="13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right"/>
    </xf>
    <xf numFmtId="164" fontId="14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164" fontId="37" fillId="0" borderId="0" xfId="0" applyNumberFormat="1" applyFont="1" applyFill="1"/>
    <xf numFmtId="10" fontId="16" fillId="0" borderId="0" xfId="0" applyNumberFormat="1" applyFont="1" applyFill="1"/>
    <xf numFmtId="0" fontId="28" fillId="0" borderId="0" xfId="0" applyFont="1" applyFill="1"/>
    <xf numFmtId="0" fontId="19" fillId="0" borderId="1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23" xfId="0" applyFont="1" applyBorder="1"/>
    <xf numFmtId="0" fontId="48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3" fontId="14" fillId="0" borderId="0" xfId="0" applyNumberFormat="1" applyFont="1" applyFill="1" applyAlignment="1">
      <alignment horizontal="center" vertical="center"/>
    </xf>
    <xf numFmtId="9" fontId="14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 indent="2"/>
    </xf>
    <xf numFmtId="9" fontId="14" fillId="0" borderId="0" xfId="0" applyNumberFormat="1" applyFont="1" applyFill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/>
    </xf>
    <xf numFmtId="9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32" fillId="0" borderId="1" xfId="0" applyFont="1" applyFill="1" applyBorder="1"/>
    <xf numFmtId="171" fontId="32" fillId="0" borderId="1" xfId="0" applyNumberFormat="1" applyFont="1" applyFill="1" applyBorder="1" applyAlignment="1"/>
    <xf numFmtId="0" fontId="32" fillId="0" borderId="0" xfId="0" applyFont="1" applyFill="1"/>
    <xf numFmtId="164" fontId="28" fillId="0" borderId="0" xfId="0" applyNumberFormat="1" applyFont="1" applyFill="1"/>
    <xf numFmtId="10" fontId="28" fillId="0" borderId="0" xfId="0" applyNumberFormat="1" applyFont="1" applyFill="1"/>
    <xf numFmtId="0" fontId="28" fillId="0" borderId="1" xfId="0" applyFont="1" applyFill="1" applyBorder="1"/>
    <xf numFmtId="17" fontId="32" fillId="0" borderId="1" xfId="10" applyNumberFormat="1" applyFont="1" applyFill="1" applyBorder="1" applyAlignment="1"/>
    <xf numFmtId="2" fontId="32" fillId="0" borderId="1" xfId="10" applyNumberFormat="1" applyFont="1" applyFill="1" applyBorder="1" applyAlignment="1"/>
    <xf numFmtId="0" fontId="32" fillId="0" borderId="0" xfId="0" applyFont="1" applyFill="1" applyBorder="1"/>
    <xf numFmtId="2" fontId="28" fillId="0" borderId="0" xfId="0" applyNumberFormat="1" applyFont="1" applyFill="1" applyBorder="1" applyAlignment="1"/>
    <xf numFmtId="2" fontId="28" fillId="0" borderId="0" xfId="0" applyNumberFormat="1" applyFont="1" applyFill="1" applyAlignment="1"/>
    <xf numFmtId="0" fontId="28" fillId="0" borderId="0" xfId="0" applyFont="1" applyFill="1" applyBorder="1"/>
    <xf numFmtId="164" fontId="28" fillId="0" borderId="0" xfId="0" applyNumberFormat="1" applyFont="1" applyFill="1" applyBorder="1"/>
    <xf numFmtId="170" fontId="28" fillId="0" borderId="21" xfId="11" applyNumberFormat="1" applyFont="1" applyFill="1" applyBorder="1" applyAlignment="1">
      <alignment horizontal="right"/>
    </xf>
    <xf numFmtId="164" fontId="28" fillId="0" borderId="0" xfId="12" applyNumberFormat="1" applyFont="1" applyFill="1" applyBorder="1"/>
    <xf numFmtId="164" fontId="28" fillId="0" borderId="0" xfId="0" applyNumberFormat="1" applyFont="1" applyFill="1" applyBorder="1" applyAlignment="1"/>
    <xf numFmtId="0" fontId="48" fillId="0" borderId="0" xfId="0" applyFont="1" applyBorder="1" applyAlignment="1">
      <alignment horizontal="center" vertical="center" wrapText="1"/>
    </xf>
    <xf numFmtId="12" fontId="32" fillId="0" borderId="1" xfId="9" applyNumberFormat="1" applyFont="1" applyFill="1" applyBorder="1" applyAlignment="1"/>
    <xf numFmtId="17" fontId="32" fillId="0" borderId="1" xfId="9" applyNumberFormat="1" applyFont="1" applyFill="1" applyBorder="1" applyAlignment="1"/>
    <xf numFmtId="17" fontId="32" fillId="0" borderId="1" xfId="3" applyNumberFormat="1" applyFont="1" applyFill="1" applyBorder="1" applyAlignment="1">
      <alignment horizontal="right"/>
    </xf>
    <xf numFmtId="166" fontId="16" fillId="0" borderId="0" xfId="0" applyNumberFormat="1" applyFont="1"/>
    <xf numFmtId="14" fontId="19" fillId="0" borderId="1" xfId="0" applyNumberFormat="1" applyFont="1" applyBorder="1"/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/>
    </xf>
    <xf numFmtId="2" fontId="16" fillId="0" borderId="4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2" fontId="16" fillId="0" borderId="12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3" xfId="0" applyFont="1" applyBorder="1" applyAlignment="1">
      <alignment horizontal="right" vertical="center" wrapText="1"/>
    </xf>
    <xf numFmtId="0" fontId="64" fillId="0" borderId="0" xfId="0" applyFont="1"/>
    <xf numFmtId="0" fontId="65" fillId="0" borderId="0" xfId="1" applyFont="1"/>
    <xf numFmtId="0" fontId="64" fillId="0" borderId="17" xfId="0" applyFont="1" applyBorder="1"/>
    <xf numFmtId="0" fontId="66" fillId="5" borderId="18" xfId="0" applyFont="1" applyFill="1" applyBorder="1" applyAlignment="1">
      <alignment horizontal="center" vertical="center"/>
    </xf>
    <xf numFmtId="0" fontId="67" fillId="0" borderId="0" xfId="1" applyFont="1"/>
    <xf numFmtId="0" fontId="66" fillId="4" borderId="19" xfId="0" applyFont="1" applyFill="1" applyBorder="1" applyAlignment="1">
      <alignment horizontal="center" vertical="center"/>
    </xf>
    <xf numFmtId="0" fontId="68" fillId="0" borderId="0" xfId="1" applyFont="1"/>
    <xf numFmtId="0" fontId="66" fillId="5" borderId="19" xfId="0" applyFont="1" applyFill="1" applyBorder="1" applyAlignment="1">
      <alignment horizontal="center" vertical="center"/>
    </xf>
    <xf numFmtId="0" fontId="69" fillId="5" borderId="19" xfId="0" applyFont="1" applyFill="1" applyBorder="1" applyAlignment="1">
      <alignment horizontal="center" vertical="center"/>
    </xf>
    <xf numFmtId="0" fontId="29" fillId="0" borderId="0" xfId="30" applyNumberFormat="1" applyFont="1" applyFill="1" applyBorder="1" applyAlignment="1" applyProtection="1"/>
    <xf numFmtId="0" fontId="70" fillId="12" borderId="21" xfId="30" applyFont="1" applyFill="1" applyBorder="1" applyAlignment="1">
      <alignment vertical="center"/>
    </xf>
    <xf numFmtId="0" fontId="70" fillId="12" borderId="35" xfId="30" applyFont="1" applyFill="1" applyBorder="1" applyAlignment="1">
      <alignment vertical="center"/>
    </xf>
    <xf numFmtId="0" fontId="29" fillId="13" borderId="21" xfId="30" applyFont="1" applyFill="1" applyBorder="1" applyAlignment="1">
      <alignment vertical="center"/>
    </xf>
    <xf numFmtId="0" fontId="39" fillId="13" borderId="35" xfId="30" applyFont="1" applyFill="1" applyBorder="1" applyAlignment="1">
      <alignment horizontal="center" vertical="center"/>
    </xf>
    <xf numFmtId="0" fontId="39" fillId="13" borderId="35" xfId="31" applyFont="1" applyFill="1" applyBorder="1" applyAlignment="1">
      <alignment horizontal="center" vertical="center"/>
    </xf>
    <xf numFmtId="0" fontId="29" fillId="13" borderId="22" xfId="30" applyFont="1" applyFill="1" applyBorder="1" applyAlignment="1">
      <alignment vertical="center"/>
    </xf>
    <xf numFmtId="0" fontId="39" fillId="13" borderId="36" xfId="30" applyFont="1" applyFill="1" applyBorder="1" applyAlignment="1">
      <alignment horizontal="center" vertical="center"/>
    </xf>
    <xf numFmtId="0" fontId="39" fillId="13" borderId="36" xfId="31" applyFont="1" applyFill="1" applyBorder="1" applyAlignment="1">
      <alignment horizontal="center" vertical="center"/>
    </xf>
    <xf numFmtId="0" fontId="32" fillId="13" borderId="37" xfId="15" applyFont="1" applyFill="1" applyBorder="1" applyAlignment="1" applyProtection="1">
      <alignment horizontal="left" vertical="center"/>
      <protection locked="0"/>
    </xf>
    <xf numFmtId="0" fontId="32" fillId="13" borderId="37" xfId="15" applyFont="1" applyFill="1" applyBorder="1" applyAlignment="1" applyProtection="1">
      <alignment horizontal="center" vertical="center"/>
      <protection locked="0"/>
    </xf>
    <xf numFmtId="4" fontId="32" fillId="13" borderId="38" xfId="15" applyNumberFormat="1" applyFont="1" applyFill="1" applyBorder="1" applyAlignment="1" applyProtection="1">
      <alignment horizontal="right" vertical="center"/>
      <protection locked="0"/>
    </xf>
    <xf numFmtId="0" fontId="32" fillId="13" borderId="22" xfId="15" applyFont="1" applyFill="1" applyBorder="1" applyAlignment="1" applyProtection="1">
      <alignment horizontal="left" vertical="center"/>
      <protection locked="0"/>
    </xf>
    <xf numFmtId="0" fontId="32" fillId="13" borderId="22" xfId="15" applyFont="1" applyFill="1" applyBorder="1" applyAlignment="1" applyProtection="1">
      <alignment horizontal="center" vertical="center"/>
      <protection locked="0"/>
    </xf>
    <xf numFmtId="165" fontId="32" fillId="13" borderId="36" xfId="32" applyNumberFormat="1" applyFont="1" applyFill="1" applyBorder="1" applyAlignment="1" applyProtection="1">
      <alignment horizontal="right" vertical="center"/>
      <protection locked="0"/>
    </xf>
    <xf numFmtId="10" fontId="32" fillId="13" borderId="36" xfId="32" applyNumberFormat="1" applyFont="1" applyFill="1" applyBorder="1" applyAlignment="1" applyProtection="1">
      <alignment horizontal="right" vertical="center"/>
      <protection locked="0"/>
    </xf>
    <xf numFmtId="0" fontId="39" fillId="9" borderId="21" xfId="30" applyFont="1" applyFill="1" applyBorder="1" applyAlignment="1">
      <alignment vertical="center"/>
    </xf>
    <xf numFmtId="0" fontId="32" fillId="9" borderId="21" xfId="15" applyFont="1" applyFill="1" applyBorder="1" applyAlignment="1" applyProtection="1">
      <alignment horizontal="center" vertical="center"/>
      <protection locked="0"/>
    </xf>
    <xf numFmtId="0" fontId="28" fillId="0" borderId="21" xfId="15" applyFont="1" applyFill="1" applyBorder="1" applyAlignment="1" applyProtection="1">
      <alignment horizontal="center" vertical="center"/>
      <protection locked="0"/>
    </xf>
    <xf numFmtId="0" fontId="28" fillId="0" borderId="21" xfId="7" applyFont="1" applyFill="1" applyBorder="1" applyAlignment="1">
      <alignment horizontal="center" vertical="center" wrapText="1"/>
    </xf>
    <xf numFmtId="0" fontId="39" fillId="9" borderId="21" xfId="30" applyFont="1" applyFill="1" applyBorder="1" applyAlignment="1">
      <alignment horizontal="left" vertical="center"/>
    </xf>
    <xf numFmtId="0" fontId="29" fillId="0" borderId="21" xfId="33" applyFont="1" applyFill="1" applyBorder="1" applyAlignment="1">
      <alignment horizontal="center"/>
    </xf>
    <xf numFmtId="0" fontId="39" fillId="0" borderId="21" xfId="33" applyFont="1" applyBorder="1" applyAlignment="1">
      <alignment horizontal="center"/>
    </xf>
    <xf numFmtId="0" fontId="28" fillId="0" borderId="22" xfId="15" applyFont="1" applyFill="1" applyBorder="1" applyAlignment="1" applyProtection="1">
      <alignment horizontal="center" vertical="center"/>
      <protection locked="0"/>
    </xf>
    <xf numFmtId="0" fontId="39" fillId="9" borderId="35" xfId="33" applyFont="1" applyFill="1" applyBorder="1" applyAlignment="1">
      <alignment horizontal="left" indent="1"/>
    </xf>
    <xf numFmtId="0" fontId="32" fillId="0" borderId="21" xfId="15" applyFont="1" applyFill="1" applyBorder="1" applyAlignment="1" applyProtection="1">
      <alignment horizontal="center" vertical="center"/>
      <protection locked="0"/>
    </xf>
    <xf numFmtId="0" fontId="29" fillId="0" borderId="21" xfId="8" applyFont="1" applyFill="1" applyBorder="1" applyAlignment="1">
      <alignment horizontal="left" vertical="center" indent="3"/>
    </xf>
    <xf numFmtId="0" fontId="28" fillId="0" borderId="36" xfId="15" applyFont="1" applyFill="1" applyBorder="1" applyAlignment="1" applyProtection="1">
      <alignment horizontal="center" vertical="center"/>
      <protection locked="0"/>
    </xf>
    <xf numFmtId="0" fontId="32" fillId="13" borderId="38" xfId="15" applyFont="1" applyFill="1" applyBorder="1" applyAlignment="1" applyProtection="1">
      <alignment horizontal="center" vertical="center"/>
      <protection locked="0"/>
    </xf>
    <xf numFmtId="0" fontId="32" fillId="13" borderId="21" xfId="15" applyFont="1" applyFill="1" applyBorder="1" applyAlignment="1" applyProtection="1">
      <alignment horizontal="left" vertical="center"/>
      <protection locked="0"/>
    </xf>
    <xf numFmtId="0" fontId="32" fillId="13" borderId="35" xfId="15" applyFont="1" applyFill="1" applyBorder="1" applyAlignment="1" applyProtection="1">
      <alignment horizontal="center" vertical="center"/>
      <protection locked="0"/>
    </xf>
    <xf numFmtId="0" fontId="29" fillId="0" borderId="39" xfId="31" applyFont="1" applyFill="1" applyBorder="1"/>
    <xf numFmtId="0" fontId="29" fillId="0" borderId="39" xfId="30" applyNumberFormat="1" applyFont="1" applyFill="1" applyBorder="1" applyAlignment="1" applyProtection="1"/>
    <xf numFmtId="0" fontId="71" fillId="0" borderId="17" xfId="0" applyFont="1" applyBorder="1"/>
    <xf numFmtId="166" fontId="29" fillId="0" borderId="39" xfId="30" applyNumberFormat="1" applyFont="1" applyFill="1" applyBorder="1" applyAlignment="1" applyProtection="1">
      <alignment horizontal="right" vertical="center"/>
    </xf>
    <xf numFmtId="4" fontId="39" fillId="9" borderId="35" xfId="30" applyNumberFormat="1" applyFont="1" applyFill="1" applyBorder="1" applyAlignment="1" applyProtection="1">
      <alignment horizontal="right" vertical="center"/>
    </xf>
    <xf numFmtId="4" fontId="28" fillId="0" borderId="35" xfId="30" applyNumberFormat="1" applyFont="1" applyFill="1" applyBorder="1" applyAlignment="1" applyProtection="1">
      <alignment horizontal="right" vertical="center"/>
    </xf>
    <xf numFmtId="4" fontId="29" fillId="0" borderId="35" xfId="30" applyNumberFormat="1" applyFont="1" applyFill="1" applyBorder="1" applyAlignment="1" applyProtection="1">
      <alignment horizontal="right" vertical="center"/>
    </xf>
    <xf numFmtId="4" fontId="28" fillId="0" borderId="35" xfId="30" applyNumberFormat="1" applyFont="1" applyFill="1" applyBorder="1" applyAlignment="1">
      <alignment horizontal="right" vertical="center"/>
    </xf>
    <xf numFmtId="4" fontId="29" fillId="0" borderId="35" xfId="30" applyNumberFormat="1" applyFont="1" applyFill="1" applyBorder="1" applyAlignment="1">
      <alignment horizontal="right" vertical="center"/>
    </xf>
    <xf numFmtId="4" fontId="32" fillId="13" borderId="37" xfId="15" applyNumberFormat="1" applyFont="1" applyFill="1" applyBorder="1" applyAlignment="1" applyProtection="1">
      <alignment horizontal="right" vertical="center"/>
      <protection locked="0"/>
    </xf>
    <xf numFmtId="168" fontId="32" fillId="13" borderId="37" xfId="15" applyNumberFormat="1" applyFont="1" applyFill="1" applyBorder="1" applyAlignment="1" applyProtection="1">
      <alignment horizontal="right" vertical="center"/>
      <protection locked="0"/>
    </xf>
    <xf numFmtId="10" fontId="32" fillId="13" borderId="22" xfId="32" applyNumberFormat="1" applyFont="1" applyFill="1" applyBorder="1" applyAlignment="1" applyProtection="1">
      <alignment horizontal="right" vertical="center"/>
      <protection locked="0"/>
    </xf>
    <xf numFmtId="4" fontId="32" fillId="9" borderId="35" xfId="30" applyNumberFormat="1" applyFont="1" applyFill="1" applyBorder="1" applyAlignment="1" applyProtection="1">
      <alignment horizontal="right" vertical="center"/>
    </xf>
    <xf numFmtId="4" fontId="32" fillId="14" borderId="38" xfId="15" applyNumberFormat="1" applyFont="1" applyFill="1" applyBorder="1" applyAlignment="1" applyProtection="1">
      <alignment horizontal="right" vertical="center"/>
      <protection locked="0"/>
    </xf>
    <xf numFmtId="172" fontId="32" fillId="14" borderId="38" xfId="15" applyNumberFormat="1" applyFont="1" applyFill="1" applyBorder="1" applyAlignment="1" applyProtection="1">
      <alignment horizontal="right" vertical="center"/>
      <protection locked="0"/>
    </xf>
    <xf numFmtId="10" fontId="32" fillId="13" borderId="35" xfId="32" applyNumberFormat="1" applyFont="1" applyFill="1" applyBorder="1" applyAlignment="1" applyProtection="1">
      <alignment horizontal="right" vertical="center"/>
      <protection locked="0"/>
    </xf>
    <xf numFmtId="10" fontId="32" fillId="14" borderId="35" xfId="32" applyNumberFormat="1" applyFont="1" applyFill="1" applyBorder="1" applyAlignment="1" applyProtection="1">
      <alignment horizontal="right" vertical="center"/>
      <protection locked="0"/>
    </xf>
    <xf numFmtId="0" fontId="29" fillId="0" borderId="35" xfId="33" applyFont="1" applyFill="1" applyBorder="1" applyAlignment="1">
      <alignment horizontal="left" vertical="center" indent="3"/>
    </xf>
    <xf numFmtId="0" fontId="29" fillId="0" borderId="35" xfId="33" applyFont="1" applyBorder="1" applyAlignment="1">
      <alignment horizontal="left" vertical="center" indent="5"/>
    </xf>
    <xf numFmtId="0" fontId="29" fillId="0" borderId="35" xfId="33" applyFont="1" applyFill="1" applyBorder="1" applyAlignment="1">
      <alignment horizontal="left" vertical="center" indent="7"/>
    </xf>
    <xf numFmtId="0" fontId="29" fillId="0" borderId="35" xfId="33" applyFont="1" applyBorder="1" applyAlignment="1">
      <alignment horizontal="left" vertical="center" indent="7"/>
    </xf>
    <xf numFmtId="0" fontId="29" fillId="0" borderId="35" xfId="33" applyFont="1" applyBorder="1" applyAlignment="1">
      <alignment horizontal="left" vertical="center" indent="3"/>
    </xf>
    <xf numFmtId="0" fontId="39" fillId="0" borderId="35" xfId="33" applyFont="1" applyFill="1" applyBorder="1" applyAlignment="1">
      <alignment horizontal="left" vertical="center" indent="2"/>
    </xf>
    <xf numFmtId="0" fontId="39" fillId="0" borderId="35" xfId="33" applyFont="1" applyBorder="1" applyAlignment="1">
      <alignment horizontal="left" vertical="center" indent="2"/>
    </xf>
    <xf numFmtId="0" fontId="39" fillId="9" borderId="35" xfId="33" applyFont="1" applyFill="1" applyBorder="1" applyAlignment="1">
      <alignment horizontal="left" vertical="center"/>
    </xf>
    <xf numFmtId="0" fontId="29" fillId="0" borderId="35" xfId="33" applyFont="1" applyBorder="1" applyAlignment="1">
      <alignment horizontal="left" vertical="center" indent="2"/>
    </xf>
    <xf numFmtId="0" fontId="39" fillId="9" borderId="35" xfId="33" applyFont="1" applyFill="1" applyBorder="1" applyAlignment="1">
      <alignment horizontal="left" vertical="center" indent="1"/>
    </xf>
    <xf numFmtId="0" fontId="29" fillId="0" borderId="35" xfId="33" applyFont="1" applyFill="1" applyBorder="1" applyAlignment="1">
      <alignment horizontal="left" vertical="center" indent="2"/>
    </xf>
    <xf numFmtId="0" fontId="29" fillId="0" borderId="36" xfId="33" applyFont="1" applyFill="1" applyBorder="1" applyAlignment="1">
      <alignment horizontal="left" vertical="center" indent="2"/>
    </xf>
    <xf numFmtId="0" fontId="29" fillId="0" borderId="35" xfId="33" applyFont="1" applyFill="1" applyBorder="1" applyAlignment="1">
      <alignment horizontal="left" vertical="center" wrapText="1" indent="3"/>
    </xf>
    <xf numFmtId="0" fontId="29" fillId="0" borderId="35" xfId="33" applyFont="1" applyBorder="1" applyAlignment="1">
      <alignment horizontal="left" vertical="center" wrapText="1" indent="3"/>
    </xf>
    <xf numFmtId="0" fontId="29" fillId="0" borderId="35" xfId="33" applyFont="1" applyBorder="1" applyAlignment="1">
      <alignment horizontal="left" vertical="center" wrapText="1" indent="2"/>
    </xf>
    <xf numFmtId="0" fontId="32" fillId="13" borderId="36" xfId="31" applyFont="1" applyFill="1" applyBorder="1" applyAlignment="1">
      <alignment horizontal="center" vertical="center"/>
    </xf>
    <xf numFmtId="0" fontId="39" fillId="13" borderId="36" xfId="31" applyFont="1" applyFill="1" applyBorder="1" applyAlignment="1">
      <alignment horizontal="left" vertical="center"/>
    </xf>
    <xf numFmtId="168" fontId="32" fillId="13" borderId="38" xfId="15" applyNumberFormat="1" applyFont="1" applyFill="1" applyBorder="1" applyAlignment="1" applyProtection="1">
      <alignment horizontal="right" vertical="center"/>
      <protection locked="0"/>
    </xf>
    <xf numFmtId="3" fontId="19" fillId="0" borderId="34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3" fontId="21" fillId="0" borderId="17" xfId="0" applyNumberFormat="1" applyFont="1" applyBorder="1" applyAlignment="1">
      <alignment horizontal="center"/>
    </xf>
    <xf numFmtId="3" fontId="19" fillId="0" borderId="17" xfId="0" applyNumberFormat="1" applyFont="1" applyBorder="1" applyAlignment="1">
      <alignment horizontal="center"/>
    </xf>
    <xf numFmtId="3" fontId="19" fillId="0" borderId="0" xfId="3" applyNumberFormat="1" applyFont="1" applyFill="1" applyBorder="1" applyAlignment="1">
      <alignment horizontal="right" vertical="center"/>
    </xf>
    <xf numFmtId="3" fontId="14" fillId="0" borderId="0" xfId="3" applyNumberFormat="1" applyFont="1" applyFill="1" applyBorder="1" applyAlignment="1">
      <alignment horizontal="right" vertical="center"/>
    </xf>
    <xf numFmtId="3" fontId="14" fillId="6" borderId="0" xfId="3" applyNumberFormat="1" applyFont="1" applyFill="1" applyBorder="1" applyAlignment="1">
      <alignment horizontal="right" vertical="center"/>
    </xf>
    <xf numFmtId="3" fontId="19" fillId="0" borderId="17" xfId="3" applyNumberFormat="1" applyFont="1" applyFill="1" applyBorder="1" applyAlignment="1">
      <alignment horizontal="right" vertical="center"/>
    </xf>
    <xf numFmtId="3" fontId="19" fillId="6" borderId="17" xfId="3" applyNumberFormat="1" applyFont="1" applyFill="1" applyBorder="1" applyAlignment="1">
      <alignment horizontal="right" vertical="center"/>
    </xf>
    <xf numFmtId="3" fontId="14" fillId="0" borderId="0" xfId="3" applyNumberFormat="1" applyFont="1" applyFill="1" applyBorder="1" applyAlignment="1">
      <alignment vertical="center"/>
    </xf>
    <xf numFmtId="3" fontId="16" fillId="0" borderId="0" xfId="3" applyNumberFormat="1" applyFont="1" applyFill="1" applyBorder="1" applyAlignment="1">
      <alignment horizontal="right"/>
    </xf>
    <xf numFmtId="166" fontId="16" fillId="0" borderId="0" xfId="20" applyNumberFormat="1" applyFont="1"/>
    <xf numFmtId="166" fontId="16" fillId="0" borderId="17" xfId="20" applyNumberFormat="1" applyFont="1" applyBorder="1"/>
    <xf numFmtId="166" fontId="19" fillId="0" borderId="0" xfId="20" applyNumberFormat="1" applyFont="1"/>
    <xf numFmtId="166" fontId="32" fillId="14" borderId="38" xfId="15" applyNumberFormat="1" applyFont="1" applyFill="1" applyBorder="1" applyAlignment="1" applyProtection="1">
      <alignment horizontal="right" vertical="center"/>
      <protection locked="0"/>
    </xf>
    <xf numFmtId="164" fontId="20" fillId="0" borderId="3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right" vertical="center"/>
    </xf>
    <xf numFmtId="2" fontId="16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 wrapText="1"/>
    </xf>
    <xf numFmtId="0" fontId="4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20" fillId="0" borderId="3" xfId="0" applyFont="1" applyFill="1" applyBorder="1" applyAlignment="1">
      <alignment horizontal="right" vertical="center"/>
    </xf>
    <xf numFmtId="0" fontId="21" fillId="0" borderId="0" xfId="0" applyFont="1" applyAlignment="1">
      <alignment horizontal="right" indent="1"/>
    </xf>
    <xf numFmtId="0" fontId="20" fillId="0" borderId="0" xfId="0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19" fillId="0" borderId="20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0" fillId="0" borderId="3" xfId="0" applyFont="1" applyBorder="1" applyAlignment="1">
      <alignment horizontal="right" vertical="center" wrapText="1" indent="2"/>
    </xf>
    <xf numFmtId="0" fontId="16" fillId="0" borderId="3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/>
    </xf>
    <xf numFmtId="0" fontId="70" fillId="12" borderId="24" xfId="30" applyFont="1" applyFill="1" applyBorder="1" applyAlignment="1">
      <alignment horizontal="center" vertical="center"/>
    </xf>
    <xf numFmtId="0" fontId="70" fillId="12" borderId="0" xfId="30" applyFont="1" applyFill="1" applyBorder="1" applyAlignment="1">
      <alignment horizontal="center" vertical="center"/>
    </xf>
    <xf numFmtId="0" fontId="70" fillId="12" borderId="21" xfId="30" applyFont="1" applyFill="1" applyBorder="1" applyAlignment="1">
      <alignment horizontal="center" vertical="center"/>
    </xf>
    <xf numFmtId="0" fontId="39" fillId="13" borderId="35" xfId="30" applyFont="1" applyFill="1" applyBorder="1" applyAlignment="1">
      <alignment horizontal="center" vertical="center"/>
    </xf>
    <xf numFmtId="0" fontId="39" fillId="13" borderId="36" xfId="30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48" fillId="0" borderId="1" xfId="0" applyFont="1" applyBorder="1" applyAlignment="1">
      <alignment horizontal="center"/>
    </xf>
    <xf numFmtId="164" fontId="20" fillId="0" borderId="0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right" vertical="center"/>
    </xf>
    <xf numFmtId="0" fontId="48" fillId="2" borderId="1" xfId="0" applyFont="1" applyFill="1" applyBorder="1" applyAlignment="1">
      <alignment vertical="center"/>
    </xf>
    <xf numFmtId="0" fontId="20" fillId="2" borderId="3" xfId="0" applyFont="1" applyFill="1" applyBorder="1" applyAlignment="1">
      <alignment horizontal="right" vertical="center"/>
    </xf>
    <xf numFmtId="0" fontId="20" fillId="0" borderId="3" xfId="0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0" fillId="2" borderId="0" xfId="0" applyFont="1" applyFill="1" applyBorder="1" applyAlignment="1">
      <alignment horizontal="right" vertical="center"/>
    </xf>
    <xf numFmtId="0" fontId="48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top" wrapText="1"/>
    </xf>
    <xf numFmtId="0" fontId="48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right" vertical="center" wrapText="1"/>
    </xf>
    <xf numFmtId="0" fontId="21" fillId="0" borderId="3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justify" vertical="center"/>
    </xf>
    <xf numFmtId="0" fontId="20" fillId="0" borderId="16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48" fillId="0" borderId="17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right" vertical="center"/>
    </xf>
    <xf numFmtId="0" fontId="20" fillId="0" borderId="16" xfId="0" applyFont="1" applyBorder="1" applyAlignment="1">
      <alignment vertical="center"/>
    </xf>
    <xf numFmtId="0" fontId="16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45" fillId="0" borderId="17" xfId="38" applyFont="1" applyBorder="1" applyAlignment="1">
      <alignment horizontal="left"/>
    </xf>
    <xf numFmtId="0" fontId="45" fillId="0" borderId="1" xfId="38" applyFont="1" applyBorder="1" applyAlignment="1">
      <alignment horizontal="left"/>
    </xf>
    <xf numFmtId="168" fontId="45" fillId="0" borderId="1" xfId="42" applyNumberFormat="1" applyFont="1" applyBorder="1" applyAlignment="1">
      <alignment horizontal="left"/>
    </xf>
    <xf numFmtId="0" fontId="45" fillId="0" borderId="1" xfId="40" applyFont="1" applyBorder="1" applyAlignment="1">
      <alignment horizontal="left"/>
    </xf>
    <xf numFmtId="0" fontId="16" fillId="0" borderId="26" xfId="45" applyFont="1" applyBorder="1" applyAlignment="1">
      <alignment horizontal="center" vertical="center" wrapText="1"/>
    </xf>
    <xf numFmtId="0" fontId="16" fillId="0" borderId="0" xfId="45" applyFont="1" applyAlignment="1">
      <alignment horizontal="center" vertical="center" wrapText="1"/>
    </xf>
    <xf numFmtId="0" fontId="16" fillId="0" borderId="17" xfId="45" applyFont="1" applyBorder="1" applyAlignment="1">
      <alignment horizontal="center" vertical="center" wrapText="1"/>
    </xf>
    <xf numFmtId="0" fontId="45" fillId="0" borderId="1" xfId="45" applyFont="1" applyBorder="1" applyAlignment="1">
      <alignment horizontal="left"/>
    </xf>
    <xf numFmtId="0" fontId="48" fillId="6" borderId="1" xfId="33" applyFont="1" applyFill="1" applyBorder="1" applyAlignment="1">
      <alignment vertical="center"/>
    </xf>
    <xf numFmtId="0" fontId="13" fillId="6" borderId="40" xfId="33" applyFont="1" applyFill="1" applyBorder="1" applyAlignment="1">
      <alignment horizontal="center" vertical="center"/>
    </xf>
    <xf numFmtId="0" fontId="13" fillId="6" borderId="2" xfId="33" applyFont="1" applyFill="1" applyBorder="1" applyAlignment="1">
      <alignment horizontal="center" vertical="center"/>
    </xf>
    <xf numFmtId="0" fontId="14" fillId="6" borderId="3" xfId="33" applyFont="1" applyFill="1" applyBorder="1" applyAlignment="1">
      <alignment horizontal="left" vertical="center" wrapText="1"/>
    </xf>
    <xf numFmtId="0" fontId="20" fillId="6" borderId="3" xfId="33" applyFont="1" applyFill="1" applyBorder="1" applyAlignment="1">
      <alignment horizontal="right" vertical="top"/>
    </xf>
    <xf numFmtId="0" fontId="48" fillId="0" borderId="17" xfId="33" applyFont="1" applyFill="1" applyBorder="1" applyAlignment="1">
      <alignment horizontal="center" wrapText="1"/>
    </xf>
    <xf numFmtId="0" fontId="48" fillId="0" borderId="17" xfId="33" applyFont="1" applyFill="1" applyBorder="1" applyAlignment="1">
      <alignment horizontal="center"/>
    </xf>
    <xf numFmtId="0" fontId="21" fillId="0" borderId="0" xfId="0" applyFont="1" applyBorder="1" applyAlignment="1">
      <alignment horizontal="right" vertical="center"/>
    </xf>
    <xf numFmtId="0" fontId="48" fillId="0" borderId="17" xfId="0" applyFont="1" applyBorder="1" applyAlignment="1">
      <alignment horizontal="left" wrapText="1"/>
    </xf>
  </cellXfs>
  <cellStyles count="50">
    <cellStyle name="_x000a_386grabber=S" xfId="9"/>
    <cellStyle name="=D:\WINNT\SYSTEM32\COMMAND.COM" xfId="10"/>
    <cellStyle name="Accent5" xfId="19"/>
    <cellStyle name="Accent6" xfId="18"/>
    <cellStyle name="Čiarka" xfId="3" builtinId="3"/>
    <cellStyle name="Čiarka 2" xfId="24"/>
    <cellStyle name="Čiarka 2 2" xfId="42"/>
    <cellStyle name="Čiarka 3" xfId="35"/>
    <cellStyle name="Čiarka 4" xfId="36"/>
    <cellStyle name="Čiarka 5" xfId="46"/>
    <cellStyle name="Excel Built-in Normal" xfId="23"/>
    <cellStyle name="Hypertextové prepojenie" xfId="1" builtinId="8"/>
    <cellStyle name="Normal 3" xfId="49"/>
    <cellStyle name="Normal 45" xfId="34"/>
    <cellStyle name="Normal 45 2" xfId="41"/>
    <cellStyle name="Normal_TAB2 2" xfId="7"/>
    <cellStyle name="Normálna 11" xfId="4"/>
    <cellStyle name="Normálna 2 2" xfId="15"/>
    <cellStyle name="Normálna 3" xfId="31"/>
    <cellStyle name="Normálne" xfId="0" builtinId="0"/>
    <cellStyle name="normálne 10" xfId="30"/>
    <cellStyle name="Normálne 11" xfId="48"/>
    <cellStyle name="Normálne 11 2 5" xfId="5"/>
    <cellStyle name="Normálne 11 2 5 2" xfId="25"/>
    <cellStyle name="Normálne 14" xfId="16"/>
    <cellStyle name="Normálne 14 2" xfId="29"/>
    <cellStyle name="Normálne 16" xfId="47"/>
    <cellStyle name="Normálne 2" xfId="6"/>
    <cellStyle name="Normálne 2 2" xfId="26"/>
    <cellStyle name="Normálne 2 3" xfId="33"/>
    <cellStyle name="Normálne 3" xfId="13"/>
    <cellStyle name="Normálne 3 2" xfId="27"/>
    <cellStyle name="Normálne 3 3" xfId="40"/>
    <cellStyle name="Normálne 4" xfId="17"/>
    <cellStyle name="Normálne 4 2" xfId="39"/>
    <cellStyle name="Normálne 5" xfId="20"/>
    <cellStyle name="Normálne 50 2" xfId="22"/>
    <cellStyle name="Normálne 57" xfId="14"/>
    <cellStyle name="Normálne 57 2" xfId="28"/>
    <cellStyle name="Normálne 6" xfId="37"/>
    <cellStyle name="normálne 7" xfId="11"/>
    <cellStyle name="Normálne 8" xfId="38"/>
    <cellStyle name="Normálne 9" xfId="45"/>
    <cellStyle name="normálne 9_Tabulky IFP_casove rady-request_20111102_" xfId="8"/>
    <cellStyle name="Percentá" xfId="2" builtinId="5"/>
    <cellStyle name="Percentá 2" xfId="21"/>
    <cellStyle name="Percentá 2 2" xfId="32"/>
    <cellStyle name="Percentá 2 3" xfId="43"/>
    <cellStyle name="percentá 3" xfId="12"/>
    <cellStyle name="Percentá 4" xfId="44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C9B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5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2.xml"/><Relationship Id="rId84" Type="http://schemas.openxmlformats.org/officeDocument/2006/relationships/externalLink" Target="externalLinks/externalLink18.xml"/><Relationship Id="rId89" Type="http://schemas.openxmlformats.org/officeDocument/2006/relationships/externalLink" Target="externalLinks/externalLink23.xml"/><Relationship Id="rId112" Type="http://schemas.openxmlformats.org/officeDocument/2006/relationships/externalLink" Target="externalLinks/externalLink46.xml"/><Relationship Id="rId133" Type="http://schemas.openxmlformats.org/officeDocument/2006/relationships/externalLink" Target="externalLinks/externalLink67.xml"/><Relationship Id="rId138" Type="http://schemas.openxmlformats.org/officeDocument/2006/relationships/externalLink" Target="externalLinks/externalLink72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4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8.xml"/><Relationship Id="rId79" Type="http://schemas.openxmlformats.org/officeDocument/2006/relationships/externalLink" Target="externalLinks/externalLink13.xml"/><Relationship Id="rId102" Type="http://schemas.openxmlformats.org/officeDocument/2006/relationships/externalLink" Target="externalLinks/externalLink36.xml"/><Relationship Id="rId123" Type="http://schemas.openxmlformats.org/officeDocument/2006/relationships/externalLink" Target="externalLinks/externalLink57.xml"/><Relationship Id="rId128" Type="http://schemas.openxmlformats.org/officeDocument/2006/relationships/externalLink" Target="externalLinks/externalLink62.xml"/><Relationship Id="rId144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24.xml"/><Relationship Id="rId95" Type="http://schemas.openxmlformats.org/officeDocument/2006/relationships/externalLink" Target="externalLinks/externalLink29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3.xml"/><Relationship Id="rId113" Type="http://schemas.openxmlformats.org/officeDocument/2006/relationships/externalLink" Target="externalLinks/externalLink47.xml"/><Relationship Id="rId118" Type="http://schemas.openxmlformats.org/officeDocument/2006/relationships/externalLink" Target="externalLinks/externalLink52.xml"/><Relationship Id="rId134" Type="http://schemas.openxmlformats.org/officeDocument/2006/relationships/externalLink" Target="externalLinks/externalLink68.xml"/><Relationship Id="rId139" Type="http://schemas.openxmlformats.org/officeDocument/2006/relationships/externalLink" Target="externalLinks/externalLink73.xml"/><Relationship Id="rId80" Type="http://schemas.openxmlformats.org/officeDocument/2006/relationships/externalLink" Target="externalLinks/externalLink14.xml"/><Relationship Id="rId85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1.xml"/><Relationship Id="rId103" Type="http://schemas.openxmlformats.org/officeDocument/2006/relationships/externalLink" Target="externalLinks/externalLink37.xml"/><Relationship Id="rId108" Type="http://schemas.openxmlformats.org/officeDocument/2006/relationships/externalLink" Target="externalLinks/externalLink42.xml"/><Relationship Id="rId116" Type="http://schemas.openxmlformats.org/officeDocument/2006/relationships/externalLink" Target="externalLinks/externalLink50.xml"/><Relationship Id="rId124" Type="http://schemas.openxmlformats.org/officeDocument/2006/relationships/externalLink" Target="externalLinks/externalLink58.xml"/><Relationship Id="rId129" Type="http://schemas.openxmlformats.org/officeDocument/2006/relationships/externalLink" Target="externalLinks/externalLink63.xml"/><Relationship Id="rId137" Type="http://schemas.openxmlformats.org/officeDocument/2006/relationships/externalLink" Target="externalLinks/externalLink7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4.xml"/><Relationship Id="rId75" Type="http://schemas.openxmlformats.org/officeDocument/2006/relationships/externalLink" Target="externalLinks/externalLink9.xml"/><Relationship Id="rId83" Type="http://schemas.openxmlformats.org/officeDocument/2006/relationships/externalLink" Target="externalLinks/externalLink17.xml"/><Relationship Id="rId88" Type="http://schemas.openxmlformats.org/officeDocument/2006/relationships/externalLink" Target="externalLinks/externalLink22.xml"/><Relationship Id="rId91" Type="http://schemas.openxmlformats.org/officeDocument/2006/relationships/externalLink" Target="externalLinks/externalLink25.xml"/><Relationship Id="rId96" Type="http://schemas.openxmlformats.org/officeDocument/2006/relationships/externalLink" Target="externalLinks/externalLink30.xml"/><Relationship Id="rId111" Type="http://schemas.openxmlformats.org/officeDocument/2006/relationships/externalLink" Target="externalLinks/externalLink45.xml"/><Relationship Id="rId132" Type="http://schemas.openxmlformats.org/officeDocument/2006/relationships/externalLink" Target="externalLinks/externalLink66.xml"/><Relationship Id="rId140" Type="http://schemas.openxmlformats.org/officeDocument/2006/relationships/externalLink" Target="externalLinks/externalLink74.xml"/><Relationship Id="rId14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48.xml"/><Relationship Id="rId119" Type="http://schemas.openxmlformats.org/officeDocument/2006/relationships/externalLink" Target="externalLinks/externalLink53.xml"/><Relationship Id="rId127" Type="http://schemas.openxmlformats.org/officeDocument/2006/relationships/externalLink" Target="externalLinks/externalLink6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7.xml"/><Relationship Id="rId78" Type="http://schemas.openxmlformats.org/officeDocument/2006/relationships/externalLink" Target="externalLinks/externalLink12.xml"/><Relationship Id="rId81" Type="http://schemas.openxmlformats.org/officeDocument/2006/relationships/externalLink" Target="externalLinks/externalLink15.xml"/><Relationship Id="rId86" Type="http://schemas.openxmlformats.org/officeDocument/2006/relationships/externalLink" Target="externalLinks/externalLink20.xml"/><Relationship Id="rId94" Type="http://schemas.openxmlformats.org/officeDocument/2006/relationships/externalLink" Target="externalLinks/externalLink28.xml"/><Relationship Id="rId99" Type="http://schemas.openxmlformats.org/officeDocument/2006/relationships/externalLink" Target="externalLinks/externalLink33.xml"/><Relationship Id="rId101" Type="http://schemas.openxmlformats.org/officeDocument/2006/relationships/externalLink" Target="externalLinks/externalLink35.xml"/><Relationship Id="rId122" Type="http://schemas.openxmlformats.org/officeDocument/2006/relationships/externalLink" Target="externalLinks/externalLink56.xml"/><Relationship Id="rId130" Type="http://schemas.openxmlformats.org/officeDocument/2006/relationships/externalLink" Target="externalLinks/externalLink64.xml"/><Relationship Id="rId135" Type="http://schemas.openxmlformats.org/officeDocument/2006/relationships/externalLink" Target="externalLinks/externalLink69.xml"/><Relationship Id="rId143" Type="http://schemas.openxmlformats.org/officeDocument/2006/relationships/externalLink" Target="externalLinks/externalLink7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4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0.xml"/><Relationship Id="rId97" Type="http://schemas.openxmlformats.org/officeDocument/2006/relationships/externalLink" Target="externalLinks/externalLink31.xml"/><Relationship Id="rId104" Type="http://schemas.openxmlformats.org/officeDocument/2006/relationships/externalLink" Target="externalLinks/externalLink38.xml"/><Relationship Id="rId120" Type="http://schemas.openxmlformats.org/officeDocument/2006/relationships/externalLink" Target="externalLinks/externalLink54.xml"/><Relationship Id="rId125" Type="http://schemas.openxmlformats.org/officeDocument/2006/relationships/externalLink" Target="externalLinks/externalLink59.xml"/><Relationship Id="rId141" Type="http://schemas.openxmlformats.org/officeDocument/2006/relationships/externalLink" Target="externalLinks/externalLink75.xml"/><Relationship Id="rId14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.xml"/><Relationship Id="rId92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21.xml"/><Relationship Id="rId110" Type="http://schemas.openxmlformats.org/officeDocument/2006/relationships/externalLink" Target="externalLinks/externalLink44.xml"/><Relationship Id="rId115" Type="http://schemas.openxmlformats.org/officeDocument/2006/relationships/externalLink" Target="externalLinks/externalLink49.xml"/><Relationship Id="rId131" Type="http://schemas.openxmlformats.org/officeDocument/2006/relationships/externalLink" Target="externalLinks/externalLink65.xml"/><Relationship Id="rId136" Type="http://schemas.openxmlformats.org/officeDocument/2006/relationships/externalLink" Target="externalLinks/externalLink70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1.xml"/><Relationship Id="rId100" Type="http://schemas.openxmlformats.org/officeDocument/2006/relationships/externalLink" Target="externalLinks/externalLink34.xml"/><Relationship Id="rId105" Type="http://schemas.openxmlformats.org/officeDocument/2006/relationships/externalLink" Target="externalLinks/externalLink39.xml"/><Relationship Id="rId126" Type="http://schemas.openxmlformats.org/officeDocument/2006/relationships/externalLink" Target="externalLinks/externalLink60.xml"/><Relationship Id="rId14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6.xml"/><Relationship Id="rId93" Type="http://schemas.openxmlformats.org/officeDocument/2006/relationships/externalLink" Target="externalLinks/externalLink27.xml"/><Relationship Id="rId98" Type="http://schemas.openxmlformats.org/officeDocument/2006/relationships/externalLink" Target="externalLinks/externalLink32.xml"/><Relationship Id="rId121" Type="http://schemas.openxmlformats.org/officeDocument/2006/relationships/externalLink" Target="externalLinks/externalLink55.xml"/><Relationship Id="rId142" Type="http://schemas.openxmlformats.org/officeDocument/2006/relationships/externalLink" Target="externalLinks/externalLink7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9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Nominálne saldo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9.05278414693547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070378862580637E-2"/>
                  <c:y val="5.5436507936507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0351894312902082E-3"/>
                  <c:y val="1.0079365079365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 + 2'!$B$20:$G$20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+ 2'!$B$21:$G$21</c:f>
              <c:numCache>
                <c:formatCode>0.00</c:formatCode>
                <c:ptCount val="6"/>
                <c:pt idx="0">
                  <c:v>-2.7445806862164637</c:v>
                </c:pt>
                <c:pt idx="1">
                  <c:v>-1.6817818285144437</c:v>
                </c:pt>
                <c:pt idx="2">
                  <c:v>-1.2399995686941512</c:v>
                </c:pt>
                <c:pt idx="3">
                  <c:v>-0.50000000000000522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1"/>
          <c:tx>
            <c:v>Štrukturálne saldo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 + 2'!$B$20:$G$20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+ 2'!$B$22:$G$22</c:f>
              <c:numCache>
                <c:formatCode>0.00</c:formatCode>
                <c:ptCount val="6"/>
                <c:pt idx="0">
                  <c:v>-2.3215508695872575</c:v>
                </c:pt>
                <c:pt idx="1">
                  <c:v>-1.3881204053720908</c:v>
                </c:pt>
                <c:pt idx="2">
                  <c:v>-1.0124596682186437</c:v>
                </c:pt>
                <c:pt idx="3">
                  <c:v>-0.40487011073020646</c:v>
                </c:pt>
                <c:pt idx="4">
                  <c:v>-0.24007295457461639</c:v>
                </c:pt>
                <c:pt idx="5">
                  <c:v>-0.36551718565750513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48701168"/>
        <c:axId val="548701560"/>
        <c:extLst/>
      </c:barChart>
      <c:lineChart>
        <c:grouping val="standard"/>
        <c:varyColors val="0"/>
        <c:ser>
          <c:idx val="6"/>
          <c:order val="2"/>
          <c:tx>
            <c:v>Konsolidačné úsilie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4389768690672782E-2"/>
                  <c:y val="-6.0564285714285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7198626637996E-2"/>
                  <c:y val="3.5189682539682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'Graf 1 + 2'!$B$23:$G$23</c:f>
              <c:numCache>
                <c:formatCode>0.00</c:formatCode>
                <c:ptCount val="6"/>
                <c:pt idx="0">
                  <c:v>-0.11919044031814474</c:v>
                </c:pt>
                <c:pt idx="1">
                  <c:v>0.93343046421516673</c:v>
                </c:pt>
                <c:pt idx="2">
                  <c:v>0.37566073715344706</c:v>
                </c:pt>
                <c:pt idx="3">
                  <c:v>0.60758955748843735</c:v>
                </c:pt>
                <c:pt idx="4">
                  <c:v>0.16479715615559007</c:v>
                </c:pt>
                <c:pt idx="5">
                  <c:v>-0.12544423108288874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701168"/>
        <c:axId val="548701560"/>
        <c:extLst/>
      </c:lineChart>
      <c:catAx>
        <c:axId val="54870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8701560"/>
        <c:crosses val="autoZero"/>
        <c:auto val="1"/>
        <c:lblAlgn val="ctr"/>
        <c:lblOffset val="100"/>
        <c:noMultiLvlLbl val="0"/>
      </c:catAx>
      <c:valAx>
        <c:axId val="54870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870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9994083639456E-2"/>
          <c:y val="4.535714285714286E-2"/>
          <c:w val="0.89999995244083164"/>
          <c:h val="8.107896825396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03286166719919E-2"/>
          <c:y val="3.884610226641378E-2"/>
          <c:w val="0.87178579421758329"/>
          <c:h val="0.82002413931835161"/>
        </c:manualLayout>
      </c:layout>
      <c:lineChart>
        <c:grouping val="standard"/>
        <c:varyColors val="0"/>
        <c:ser>
          <c:idx val="0"/>
          <c:order val="0"/>
          <c:tx>
            <c:strRef>
              <c:f>'Graf 3+4'!$M$2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3+4'!$L$3:$L$567</c:f>
              <c:numCache>
                <c:formatCode>m/d/yyyy</c:formatCode>
                <c:ptCount val="565"/>
                <c:pt idx="0">
                  <c:v>42824</c:v>
                </c:pt>
                <c:pt idx="1">
                  <c:v>42823</c:v>
                </c:pt>
                <c:pt idx="2">
                  <c:v>42822</c:v>
                </c:pt>
                <c:pt idx="3">
                  <c:v>42821</c:v>
                </c:pt>
                <c:pt idx="4">
                  <c:v>42818</c:v>
                </c:pt>
                <c:pt idx="5">
                  <c:v>42817</c:v>
                </c:pt>
                <c:pt idx="6">
                  <c:v>42816</c:v>
                </c:pt>
                <c:pt idx="7">
                  <c:v>42815</c:v>
                </c:pt>
                <c:pt idx="8">
                  <c:v>42814</c:v>
                </c:pt>
                <c:pt idx="9">
                  <c:v>42811</c:v>
                </c:pt>
                <c:pt idx="10">
                  <c:v>42810</c:v>
                </c:pt>
                <c:pt idx="11">
                  <c:v>42809</c:v>
                </c:pt>
                <c:pt idx="12">
                  <c:v>42808</c:v>
                </c:pt>
                <c:pt idx="13">
                  <c:v>42807</c:v>
                </c:pt>
                <c:pt idx="14">
                  <c:v>42804</c:v>
                </c:pt>
                <c:pt idx="15">
                  <c:v>42803</c:v>
                </c:pt>
                <c:pt idx="16">
                  <c:v>42802</c:v>
                </c:pt>
                <c:pt idx="17">
                  <c:v>42801</c:v>
                </c:pt>
                <c:pt idx="18">
                  <c:v>42800</c:v>
                </c:pt>
                <c:pt idx="19">
                  <c:v>42797</c:v>
                </c:pt>
                <c:pt idx="20">
                  <c:v>42796</c:v>
                </c:pt>
                <c:pt idx="21">
                  <c:v>42795</c:v>
                </c:pt>
                <c:pt idx="22">
                  <c:v>42794</c:v>
                </c:pt>
                <c:pt idx="23">
                  <c:v>42793</c:v>
                </c:pt>
                <c:pt idx="24">
                  <c:v>42790</c:v>
                </c:pt>
                <c:pt idx="25">
                  <c:v>42789</c:v>
                </c:pt>
                <c:pt idx="26">
                  <c:v>42788</c:v>
                </c:pt>
                <c:pt idx="27">
                  <c:v>42787</c:v>
                </c:pt>
                <c:pt idx="28">
                  <c:v>42783</c:v>
                </c:pt>
                <c:pt idx="29">
                  <c:v>42782</c:v>
                </c:pt>
                <c:pt idx="30">
                  <c:v>42781</c:v>
                </c:pt>
                <c:pt idx="31">
                  <c:v>42780</c:v>
                </c:pt>
                <c:pt idx="32">
                  <c:v>42779</c:v>
                </c:pt>
                <c:pt idx="33">
                  <c:v>42776</c:v>
                </c:pt>
                <c:pt idx="34">
                  <c:v>42775</c:v>
                </c:pt>
                <c:pt idx="35">
                  <c:v>42774</c:v>
                </c:pt>
                <c:pt idx="36">
                  <c:v>42773</c:v>
                </c:pt>
                <c:pt idx="37">
                  <c:v>42772</c:v>
                </c:pt>
                <c:pt idx="38">
                  <c:v>42769</c:v>
                </c:pt>
                <c:pt idx="39">
                  <c:v>42768</c:v>
                </c:pt>
                <c:pt idx="40">
                  <c:v>42767</c:v>
                </c:pt>
                <c:pt idx="41">
                  <c:v>42766</c:v>
                </c:pt>
                <c:pt idx="42">
                  <c:v>42765</c:v>
                </c:pt>
                <c:pt idx="43">
                  <c:v>42762</c:v>
                </c:pt>
                <c:pt idx="44">
                  <c:v>42761</c:v>
                </c:pt>
                <c:pt idx="45">
                  <c:v>42760</c:v>
                </c:pt>
                <c:pt idx="46">
                  <c:v>42759</c:v>
                </c:pt>
                <c:pt idx="47">
                  <c:v>42758</c:v>
                </c:pt>
                <c:pt idx="48">
                  <c:v>42755</c:v>
                </c:pt>
                <c:pt idx="49">
                  <c:v>42754</c:v>
                </c:pt>
                <c:pt idx="50">
                  <c:v>42753</c:v>
                </c:pt>
                <c:pt idx="51">
                  <c:v>42752</c:v>
                </c:pt>
                <c:pt idx="52">
                  <c:v>42748</c:v>
                </c:pt>
                <c:pt idx="53">
                  <c:v>42747</c:v>
                </c:pt>
                <c:pt idx="54">
                  <c:v>42746</c:v>
                </c:pt>
                <c:pt idx="55">
                  <c:v>42745</c:v>
                </c:pt>
                <c:pt idx="56">
                  <c:v>42744</c:v>
                </c:pt>
                <c:pt idx="57">
                  <c:v>42741</c:v>
                </c:pt>
                <c:pt idx="58">
                  <c:v>42740</c:v>
                </c:pt>
                <c:pt idx="59">
                  <c:v>42739</c:v>
                </c:pt>
                <c:pt idx="60">
                  <c:v>42738</c:v>
                </c:pt>
                <c:pt idx="61">
                  <c:v>42734</c:v>
                </c:pt>
                <c:pt idx="62">
                  <c:v>42733</c:v>
                </c:pt>
                <c:pt idx="63">
                  <c:v>42732</c:v>
                </c:pt>
                <c:pt idx="64">
                  <c:v>42731</c:v>
                </c:pt>
                <c:pt idx="65">
                  <c:v>42727</c:v>
                </c:pt>
                <c:pt idx="66">
                  <c:v>42726</c:v>
                </c:pt>
                <c:pt idx="67">
                  <c:v>42725</c:v>
                </c:pt>
                <c:pt idx="68">
                  <c:v>42724</c:v>
                </c:pt>
                <c:pt idx="69">
                  <c:v>42723</c:v>
                </c:pt>
                <c:pt idx="70">
                  <c:v>42720</c:v>
                </c:pt>
                <c:pt idx="71">
                  <c:v>42719</c:v>
                </c:pt>
                <c:pt idx="72">
                  <c:v>42718</c:v>
                </c:pt>
                <c:pt idx="73">
                  <c:v>42717</c:v>
                </c:pt>
                <c:pt idx="74">
                  <c:v>42716</c:v>
                </c:pt>
                <c:pt idx="75">
                  <c:v>42713</c:v>
                </c:pt>
                <c:pt idx="76">
                  <c:v>42712</c:v>
                </c:pt>
                <c:pt idx="77">
                  <c:v>42711</c:v>
                </c:pt>
                <c:pt idx="78">
                  <c:v>42710</c:v>
                </c:pt>
                <c:pt idx="79">
                  <c:v>42709</c:v>
                </c:pt>
                <c:pt idx="80">
                  <c:v>42706</c:v>
                </c:pt>
                <c:pt idx="81">
                  <c:v>42705</c:v>
                </c:pt>
                <c:pt idx="82">
                  <c:v>42704</c:v>
                </c:pt>
                <c:pt idx="83">
                  <c:v>42703</c:v>
                </c:pt>
                <c:pt idx="84">
                  <c:v>42702</c:v>
                </c:pt>
                <c:pt idx="85">
                  <c:v>42699</c:v>
                </c:pt>
                <c:pt idx="86">
                  <c:v>42697</c:v>
                </c:pt>
                <c:pt idx="87">
                  <c:v>42696</c:v>
                </c:pt>
                <c:pt idx="88">
                  <c:v>42695</c:v>
                </c:pt>
                <c:pt idx="89">
                  <c:v>42692</c:v>
                </c:pt>
                <c:pt idx="90">
                  <c:v>42691</c:v>
                </c:pt>
                <c:pt idx="91">
                  <c:v>42690</c:v>
                </c:pt>
                <c:pt idx="92">
                  <c:v>42689</c:v>
                </c:pt>
                <c:pt idx="93">
                  <c:v>42688</c:v>
                </c:pt>
                <c:pt idx="94">
                  <c:v>42685</c:v>
                </c:pt>
                <c:pt idx="95">
                  <c:v>42684</c:v>
                </c:pt>
                <c:pt idx="96">
                  <c:v>42683</c:v>
                </c:pt>
                <c:pt idx="97">
                  <c:v>42682</c:v>
                </c:pt>
                <c:pt idx="98">
                  <c:v>42681</c:v>
                </c:pt>
                <c:pt idx="99">
                  <c:v>42678</c:v>
                </c:pt>
                <c:pt idx="100">
                  <c:v>42677</c:v>
                </c:pt>
                <c:pt idx="101">
                  <c:v>42676</c:v>
                </c:pt>
                <c:pt idx="102">
                  <c:v>42675</c:v>
                </c:pt>
                <c:pt idx="103">
                  <c:v>42674</c:v>
                </c:pt>
                <c:pt idx="104">
                  <c:v>42671</c:v>
                </c:pt>
                <c:pt idx="105">
                  <c:v>42670</c:v>
                </c:pt>
                <c:pt idx="106">
                  <c:v>42669</c:v>
                </c:pt>
                <c:pt idx="107">
                  <c:v>42668</c:v>
                </c:pt>
                <c:pt idx="108">
                  <c:v>42667</c:v>
                </c:pt>
                <c:pt idx="109">
                  <c:v>42664</c:v>
                </c:pt>
                <c:pt idx="110">
                  <c:v>42663</c:v>
                </c:pt>
                <c:pt idx="111">
                  <c:v>42662</c:v>
                </c:pt>
                <c:pt idx="112">
                  <c:v>42661</c:v>
                </c:pt>
                <c:pt idx="113">
                  <c:v>42660</c:v>
                </c:pt>
                <c:pt idx="114">
                  <c:v>42657</c:v>
                </c:pt>
                <c:pt idx="115">
                  <c:v>42656</c:v>
                </c:pt>
                <c:pt idx="116">
                  <c:v>42655</c:v>
                </c:pt>
                <c:pt idx="117">
                  <c:v>42654</c:v>
                </c:pt>
                <c:pt idx="118">
                  <c:v>42653</c:v>
                </c:pt>
                <c:pt idx="119">
                  <c:v>42650</c:v>
                </c:pt>
                <c:pt idx="120">
                  <c:v>42649</c:v>
                </c:pt>
                <c:pt idx="121">
                  <c:v>42648</c:v>
                </c:pt>
                <c:pt idx="122">
                  <c:v>42647</c:v>
                </c:pt>
                <c:pt idx="123">
                  <c:v>42646</c:v>
                </c:pt>
                <c:pt idx="124">
                  <c:v>42643</c:v>
                </c:pt>
                <c:pt idx="125">
                  <c:v>42642</c:v>
                </c:pt>
                <c:pt idx="126">
                  <c:v>42641</c:v>
                </c:pt>
                <c:pt idx="127">
                  <c:v>42640</c:v>
                </c:pt>
                <c:pt idx="128">
                  <c:v>42639</c:v>
                </c:pt>
                <c:pt idx="129">
                  <c:v>42636</c:v>
                </c:pt>
                <c:pt idx="130">
                  <c:v>42635</c:v>
                </c:pt>
                <c:pt idx="131">
                  <c:v>42634</c:v>
                </c:pt>
                <c:pt idx="132">
                  <c:v>42633</c:v>
                </c:pt>
                <c:pt idx="133">
                  <c:v>42632</c:v>
                </c:pt>
                <c:pt idx="134">
                  <c:v>42629</c:v>
                </c:pt>
                <c:pt idx="135">
                  <c:v>42628</c:v>
                </c:pt>
                <c:pt idx="136">
                  <c:v>42627</c:v>
                </c:pt>
                <c:pt idx="137">
                  <c:v>42626</c:v>
                </c:pt>
                <c:pt idx="138">
                  <c:v>42625</c:v>
                </c:pt>
                <c:pt idx="139">
                  <c:v>42622</c:v>
                </c:pt>
                <c:pt idx="140">
                  <c:v>42621</c:v>
                </c:pt>
                <c:pt idx="141">
                  <c:v>42620</c:v>
                </c:pt>
                <c:pt idx="142">
                  <c:v>42619</c:v>
                </c:pt>
                <c:pt idx="143">
                  <c:v>42615</c:v>
                </c:pt>
                <c:pt idx="144">
                  <c:v>42614</c:v>
                </c:pt>
                <c:pt idx="145">
                  <c:v>42613</c:v>
                </c:pt>
                <c:pt idx="146">
                  <c:v>42612</c:v>
                </c:pt>
                <c:pt idx="147">
                  <c:v>42611</c:v>
                </c:pt>
                <c:pt idx="148">
                  <c:v>42608</c:v>
                </c:pt>
                <c:pt idx="149">
                  <c:v>42607</c:v>
                </c:pt>
                <c:pt idx="150">
                  <c:v>42606</c:v>
                </c:pt>
                <c:pt idx="151">
                  <c:v>42605</c:v>
                </c:pt>
                <c:pt idx="152">
                  <c:v>42604</c:v>
                </c:pt>
                <c:pt idx="153">
                  <c:v>42601</c:v>
                </c:pt>
                <c:pt idx="154">
                  <c:v>42600</c:v>
                </c:pt>
                <c:pt idx="155">
                  <c:v>42599</c:v>
                </c:pt>
                <c:pt idx="156">
                  <c:v>42598</c:v>
                </c:pt>
                <c:pt idx="157">
                  <c:v>42597</c:v>
                </c:pt>
                <c:pt idx="158">
                  <c:v>42594</c:v>
                </c:pt>
                <c:pt idx="159">
                  <c:v>42593</c:v>
                </c:pt>
                <c:pt idx="160">
                  <c:v>42592</c:v>
                </c:pt>
                <c:pt idx="161">
                  <c:v>42591</c:v>
                </c:pt>
                <c:pt idx="162">
                  <c:v>42590</c:v>
                </c:pt>
                <c:pt idx="163">
                  <c:v>42587</c:v>
                </c:pt>
                <c:pt idx="164">
                  <c:v>42586</c:v>
                </c:pt>
                <c:pt idx="165">
                  <c:v>42585</c:v>
                </c:pt>
                <c:pt idx="166">
                  <c:v>42584</c:v>
                </c:pt>
                <c:pt idx="167">
                  <c:v>42583</c:v>
                </c:pt>
                <c:pt idx="168">
                  <c:v>42580</c:v>
                </c:pt>
                <c:pt idx="169">
                  <c:v>42579</c:v>
                </c:pt>
                <c:pt idx="170">
                  <c:v>42578</c:v>
                </c:pt>
                <c:pt idx="171">
                  <c:v>42577</c:v>
                </c:pt>
                <c:pt idx="172">
                  <c:v>42576</c:v>
                </c:pt>
                <c:pt idx="173">
                  <c:v>42573</c:v>
                </c:pt>
                <c:pt idx="174">
                  <c:v>42572</c:v>
                </c:pt>
                <c:pt idx="175">
                  <c:v>42571</c:v>
                </c:pt>
                <c:pt idx="176">
                  <c:v>42570</c:v>
                </c:pt>
                <c:pt idx="177">
                  <c:v>42569</c:v>
                </c:pt>
                <c:pt idx="178">
                  <c:v>42566</c:v>
                </c:pt>
                <c:pt idx="179">
                  <c:v>42565</c:v>
                </c:pt>
                <c:pt idx="180">
                  <c:v>42564</c:v>
                </c:pt>
                <c:pt idx="181">
                  <c:v>42563</c:v>
                </c:pt>
                <c:pt idx="182">
                  <c:v>42562</c:v>
                </c:pt>
                <c:pt idx="183">
                  <c:v>42559</c:v>
                </c:pt>
                <c:pt idx="184">
                  <c:v>42558</c:v>
                </c:pt>
                <c:pt idx="185">
                  <c:v>42557</c:v>
                </c:pt>
                <c:pt idx="186">
                  <c:v>42556</c:v>
                </c:pt>
                <c:pt idx="187">
                  <c:v>42552</c:v>
                </c:pt>
                <c:pt idx="188">
                  <c:v>42551</c:v>
                </c:pt>
                <c:pt idx="189">
                  <c:v>42550</c:v>
                </c:pt>
                <c:pt idx="190">
                  <c:v>42549</c:v>
                </c:pt>
                <c:pt idx="191">
                  <c:v>42548</c:v>
                </c:pt>
                <c:pt idx="192">
                  <c:v>42545</c:v>
                </c:pt>
                <c:pt idx="193">
                  <c:v>42544</c:v>
                </c:pt>
                <c:pt idx="194">
                  <c:v>42543</c:v>
                </c:pt>
                <c:pt idx="195">
                  <c:v>42542</c:v>
                </c:pt>
                <c:pt idx="196">
                  <c:v>42541</c:v>
                </c:pt>
                <c:pt idx="197">
                  <c:v>42538</c:v>
                </c:pt>
                <c:pt idx="198">
                  <c:v>42537</c:v>
                </c:pt>
                <c:pt idx="199">
                  <c:v>42536</c:v>
                </c:pt>
                <c:pt idx="200">
                  <c:v>42535</c:v>
                </c:pt>
                <c:pt idx="201">
                  <c:v>42534</c:v>
                </c:pt>
                <c:pt idx="202">
                  <c:v>42531</c:v>
                </c:pt>
                <c:pt idx="203">
                  <c:v>42530</c:v>
                </c:pt>
                <c:pt idx="204">
                  <c:v>42529</c:v>
                </c:pt>
                <c:pt idx="205">
                  <c:v>42528</c:v>
                </c:pt>
                <c:pt idx="206">
                  <c:v>42527</c:v>
                </c:pt>
                <c:pt idx="207">
                  <c:v>42524</c:v>
                </c:pt>
                <c:pt idx="208">
                  <c:v>42523</c:v>
                </c:pt>
                <c:pt idx="209">
                  <c:v>42522</c:v>
                </c:pt>
                <c:pt idx="210">
                  <c:v>42521</c:v>
                </c:pt>
                <c:pt idx="211">
                  <c:v>42517</c:v>
                </c:pt>
                <c:pt idx="212">
                  <c:v>42516</c:v>
                </c:pt>
                <c:pt idx="213">
                  <c:v>42515</c:v>
                </c:pt>
                <c:pt idx="214">
                  <c:v>42514</c:v>
                </c:pt>
                <c:pt idx="215">
                  <c:v>42513</c:v>
                </c:pt>
                <c:pt idx="216">
                  <c:v>42510</c:v>
                </c:pt>
                <c:pt idx="217">
                  <c:v>42509</c:v>
                </c:pt>
                <c:pt idx="218">
                  <c:v>42508</c:v>
                </c:pt>
                <c:pt idx="219">
                  <c:v>42507</c:v>
                </c:pt>
                <c:pt idx="220">
                  <c:v>42506</c:v>
                </c:pt>
                <c:pt idx="221">
                  <c:v>42503</c:v>
                </c:pt>
                <c:pt idx="222">
                  <c:v>42502</c:v>
                </c:pt>
                <c:pt idx="223">
                  <c:v>42501</c:v>
                </c:pt>
                <c:pt idx="224">
                  <c:v>42500</c:v>
                </c:pt>
                <c:pt idx="225">
                  <c:v>42499</c:v>
                </c:pt>
                <c:pt idx="226">
                  <c:v>42496</c:v>
                </c:pt>
                <c:pt idx="227">
                  <c:v>42495</c:v>
                </c:pt>
                <c:pt idx="228">
                  <c:v>42494</c:v>
                </c:pt>
                <c:pt idx="229">
                  <c:v>42493</c:v>
                </c:pt>
                <c:pt idx="230">
                  <c:v>42492</c:v>
                </c:pt>
                <c:pt idx="231">
                  <c:v>42489</c:v>
                </c:pt>
                <c:pt idx="232">
                  <c:v>42488</c:v>
                </c:pt>
                <c:pt idx="233">
                  <c:v>42487</c:v>
                </c:pt>
                <c:pt idx="234">
                  <c:v>42486</c:v>
                </c:pt>
                <c:pt idx="235">
                  <c:v>42485</c:v>
                </c:pt>
                <c:pt idx="236">
                  <c:v>42482</c:v>
                </c:pt>
                <c:pt idx="237">
                  <c:v>42481</c:v>
                </c:pt>
                <c:pt idx="238">
                  <c:v>42480</c:v>
                </c:pt>
                <c:pt idx="239">
                  <c:v>42479</c:v>
                </c:pt>
                <c:pt idx="240">
                  <c:v>42478</c:v>
                </c:pt>
                <c:pt idx="241">
                  <c:v>42475</c:v>
                </c:pt>
                <c:pt idx="242">
                  <c:v>42474</c:v>
                </c:pt>
                <c:pt idx="243">
                  <c:v>42473</c:v>
                </c:pt>
                <c:pt idx="244">
                  <c:v>42472</c:v>
                </c:pt>
                <c:pt idx="245">
                  <c:v>42471</c:v>
                </c:pt>
                <c:pt idx="246">
                  <c:v>42468</c:v>
                </c:pt>
                <c:pt idx="247">
                  <c:v>42467</c:v>
                </c:pt>
                <c:pt idx="248">
                  <c:v>42466</c:v>
                </c:pt>
                <c:pt idx="249">
                  <c:v>42465</c:v>
                </c:pt>
                <c:pt idx="250">
                  <c:v>42464</c:v>
                </c:pt>
                <c:pt idx="251">
                  <c:v>42461</c:v>
                </c:pt>
                <c:pt idx="252">
                  <c:v>42460</c:v>
                </c:pt>
                <c:pt idx="253">
                  <c:v>42459</c:v>
                </c:pt>
                <c:pt idx="254">
                  <c:v>42458</c:v>
                </c:pt>
                <c:pt idx="255">
                  <c:v>42457</c:v>
                </c:pt>
                <c:pt idx="256">
                  <c:v>42453</c:v>
                </c:pt>
                <c:pt idx="257">
                  <c:v>42452</c:v>
                </c:pt>
                <c:pt idx="258">
                  <c:v>42451</c:v>
                </c:pt>
                <c:pt idx="259">
                  <c:v>42450</c:v>
                </c:pt>
                <c:pt idx="260">
                  <c:v>42447</c:v>
                </c:pt>
                <c:pt idx="261">
                  <c:v>42446</c:v>
                </c:pt>
                <c:pt idx="262">
                  <c:v>42445</c:v>
                </c:pt>
                <c:pt idx="263">
                  <c:v>42444</c:v>
                </c:pt>
                <c:pt idx="264">
                  <c:v>42443</c:v>
                </c:pt>
                <c:pt idx="265">
                  <c:v>42440</c:v>
                </c:pt>
                <c:pt idx="266">
                  <c:v>42439</c:v>
                </c:pt>
                <c:pt idx="267">
                  <c:v>42438</c:v>
                </c:pt>
                <c:pt idx="268">
                  <c:v>42437</c:v>
                </c:pt>
                <c:pt idx="269">
                  <c:v>42436</c:v>
                </c:pt>
                <c:pt idx="270">
                  <c:v>42433</c:v>
                </c:pt>
                <c:pt idx="271">
                  <c:v>42432</c:v>
                </c:pt>
                <c:pt idx="272">
                  <c:v>42431</c:v>
                </c:pt>
                <c:pt idx="273">
                  <c:v>42430</c:v>
                </c:pt>
                <c:pt idx="274">
                  <c:v>42429</c:v>
                </c:pt>
                <c:pt idx="275">
                  <c:v>42426</c:v>
                </c:pt>
                <c:pt idx="276">
                  <c:v>42425</c:v>
                </c:pt>
                <c:pt idx="277">
                  <c:v>42424</c:v>
                </c:pt>
                <c:pt idx="278">
                  <c:v>42423</c:v>
                </c:pt>
                <c:pt idx="279">
                  <c:v>42422</c:v>
                </c:pt>
                <c:pt idx="280">
                  <c:v>42419</c:v>
                </c:pt>
                <c:pt idx="281">
                  <c:v>42418</c:v>
                </c:pt>
                <c:pt idx="282">
                  <c:v>42417</c:v>
                </c:pt>
                <c:pt idx="283">
                  <c:v>42416</c:v>
                </c:pt>
                <c:pt idx="284">
                  <c:v>42412</c:v>
                </c:pt>
                <c:pt idx="285">
                  <c:v>42411</c:v>
                </c:pt>
                <c:pt idx="286">
                  <c:v>42410</c:v>
                </c:pt>
                <c:pt idx="287">
                  <c:v>42409</c:v>
                </c:pt>
                <c:pt idx="288">
                  <c:v>42408</c:v>
                </c:pt>
                <c:pt idx="289">
                  <c:v>42405</c:v>
                </c:pt>
                <c:pt idx="290">
                  <c:v>42404</c:v>
                </c:pt>
                <c:pt idx="291">
                  <c:v>42403</c:v>
                </c:pt>
                <c:pt idx="292">
                  <c:v>42402</c:v>
                </c:pt>
                <c:pt idx="293">
                  <c:v>42401</c:v>
                </c:pt>
                <c:pt idx="294">
                  <c:v>42398</c:v>
                </c:pt>
                <c:pt idx="295">
                  <c:v>42397</c:v>
                </c:pt>
                <c:pt idx="296">
                  <c:v>42396</c:v>
                </c:pt>
                <c:pt idx="297">
                  <c:v>42395</c:v>
                </c:pt>
                <c:pt idx="298">
                  <c:v>42394</c:v>
                </c:pt>
                <c:pt idx="299">
                  <c:v>42391</c:v>
                </c:pt>
                <c:pt idx="300">
                  <c:v>42390</c:v>
                </c:pt>
                <c:pt idx="301">
                  <c:v>42389</c:v>
                </c:pt>
                <c:pt idx="302">
                  <c:v>42388</c:v>
                </c:pt>
                <c:pt idx="303">
                  <c:v>42384</c:v>
                </c:pt>
                <c:pt idx="304">
                  <c:v>42383</c:v>
                </c:pt>
                <c:pt idx="305">
                  <c:v>42382</c:v>
                </c:pt>
                <c:pt idx="306">
                  <c:v>42381</c:v>
                </c:pt>
                <c:pt idx="307">
                  <c:v>42380</c:v>
                </c:pt>
                <c:pt idx="308">
                  <c:v>42377</c:v>
                </c:pt>
                <c:pt idx="309">
                  <c:v>42376</c:v>
                </c:pt>
                <c:pt idx="310">
                  <c:v>42375</c:v>
                </c:pt>
                <c:pt idx="311">
                  <c:v>42374</c:v>
                </c:pt>
                <c:pt idx="312">
                  <c:v>42373</c:v>
                </c:pt>
                <c:pt idx="313">
                  <c:v>42369</c:v>
                </c:pt>
                <c:pt idx="314">
                  <c:v>42368</c:v>
                </c:pt>
                <c:pt idx="315">
                  <c:v>42367</c:v>
                </c:pt>
                <c:pt idx="316">
                  <c:v>42366</c:v>
                </c:pt>
                <c:pt idx="317">
                  <c:v>42362</c:v>
                </c:pt>
                <c:pt idx="318">
                  <c:v>42361</c:v>
                </c:pt>
                <c:pt idx="319">
                  <c:v>42360</c:v>
                </c:pt>
                <c:pt idx="320">
                  <c:v>42359</c:v>
                </c:pt>
                <c:pt idx="321">
                  <c:v>42356</c:v>
                </c:pt>
                <c:pt idx="322">
                  <c:v>42355</c:v>
                </c:pt>
                <c:pt idx="323">
                  <c:v>42354</c:v>
                </c:pt>
                <c:pt idx="324">
                  <c:v>42353</c:v>
                </c:pt>
                <c:pt idx="325">
                  <c:v>42352</c:v>
                </c:pt>
                <c:pt idx="326">
                  <c:v>42349</c:v>
                </c:pt>
                <c:pt idx="327">
                  <c:v>42348</c:v>
                </c:pt>
                <c:pt idx="328">
                  <c:v>42347</c:v>
                </c:pt>
                <c:pt idx="329">
                  <c:v>42346</c:v>
                </c:pt>
                <c:pt idx="330">
                  <c:v>42345</c:v>
                </c:pt>
                <c:pt idx="331">
                  <c:v>42342</c:v>
                </c:pt>
                <c:pt idx="332">
                  <c:v>42341</c:v>
                </c:pt>
                <c:pt idx="333">
                  <c:v>42340</c:v>
                </c:pt>
                <c:pt idx="334">
                  <c:v>42339</c:v>
                </c:pt>
                <c:pt idx="335">
                  <c:v>42338</c:v>
                </c:pt>
                <c:pt idx="336">
                  <c:v>42335</c:v>
                </c:pt>
                <c:pt idx="337">
                  <c:v>42333</c:v>
                </c:pt>
                <c:pt idx="338">
                  <c:v>42332</c:v>
                </c:pt>
                <c:pt idx="339">
                  <c:v>42331</c:v>
                </c:pt>
                <c:pt idx="340">
                  <c:v>42328</c:v>
                </c:pt>
                <c:pt idx="341">
                  <c:v>42327</c:v>
                </c:pt>
                <c:pt idx="342">
                  <c:v>42326</c:v>
                </c:pt>
                <c:pt idx="343">
                  <c:v>42325</c:v>
                </c:pt>
                <c:pt idx="344">
                  <c:v>42324</c:v>
                </c:pt>
                <c:pt idx="345">
                  <c:v>42321</c:v>
                </c:pt>
                <c:pt idx="346">
                  <c:v>42320</c:v>
                </c:pt>
                <c:pt idx="347">
                  <c:v>42319</c:v>
                </c:pt>
                <c:pt idx="348">
                  <c:v>42318</c:v>
                </c:pt>
                <c:pt idx="349">
                  <c:v>42317</c:v>
                </c:pt>
                <c:pt idx="350">
                  <c:v>42314</c:v>
                </c:pt>
                <c:pt idx="351">
                  <c:v>42313</c:v>
                </c:pt>
                <c:pt idx="352">
                  <c:v>42312</c:v>
                </c:pt>
                <c:pt idx="353">
                  <c:v>42311</c:v>
                </c:pt>
                <c:pt idx="354">
                  <c:v>42310</c:v>
                </c:pt>
                <c:pt idx="355">
                  <c:v>42307</c:v>
                </c:pt>
                <c:pt idx="356">
                  <c:v>42306</c:v>
                </c:pt>
                <c:pt idx="357">
                  <c:v>42305</c:v>
                </c:pt>
                <c:pt idx="358">
                  <c:v>42304</c:v>
                </c:pt>
                <c:pt idx="359">
                  <c:v>42303</c:v>
                </c:pt>
                <c:pt idx="360">
                  <c:v>42300</c:v>
                </c:pt>
                <c:pt idx="361">
                  <c:v>42299</c:v>
                </c:pt>
                <c:pt idx="362">
                  <c:v>42298</c:v>
                </c:pt>
                <c:pt idx="363">
                  <c:v>42297</c:v>
                </c:pt>
                <c:pt idx="364">
                  <c:v>42296</c:v>
                </c:pt>
                <c:pt idx="365">
                  <c:v>42293</c:v>
                </c:pt>
                <c:pt idx="366">
                  <c:v>42292</c:v>
                </c:pt>
                <c:pt idx="367">
                  <c:v>42291</c:v>
                </c:pt>
                <c:pt idx="368">
                  <c:v>42290</c:v>
                </c:pt>
                <c:pt idx="369">
                  <c:v>42289</c:v>
                </c:pt>
                <c:pt idx="370">
                  <c:v>42286</c:v>
                </c:pt>
                <c:pt idx="371">
                  <c:v>42285</c:v>
                </c:pt>
                <c:pt idx="372">
                  <c:v>42284</c:v>
                </c:pt>
                <c:pt idx="373">
                  <c:v>42283</c:v>
                </c:pt>
                <c:pt idx="374">
                  <c:v>42282</c:v>
                </c:pt>
                <c:pt idx="375">
                  <c:v>42279</c:v>
                </c:pt>
                <c:pt idx="376">
                  <c:v>42278</c:v>
                </c:pt>
                <c:pt idx="377">
                  <c:v>42277</c:v>
                </c:pt>
                <c:pt idx="378">
                  <c:v>42276</c:v>
                </c:pt>
                <c:pt idx="379">
                  <c:v>42275</c:v>
                </c:pt>
                <c:pt idx="380">
                  <c:v>42272</c:v>
                </c:pt>
                <c:pt idx="381">
                  <c:v>42271</c:v>
                </c:pt>
                <c:pt idx="382">
                  <c:v>42270</c:v>
                </c:pt>
                <c:pt idx="383">
                  <c:v>42269</c:v>
                </c:pt>
                <c:pt idx="384">
                  <c:v>42268</c:v>
                </c:pt>
                <c:pt idx="385">
                  <c:v>42265</c:v>
                </c:pt>
                <c:pt idx="386">
                  <c:v>42264</c:v>
                </c:pt>
                <c:pt idx="387">
                  <c:v>42263</c:v>
                </c:pt>
                <c:pt idx="388">
                  <c:v>42262</c:v>
                </c:pt>
                <c:pt idx="389">
                  <c:v>42261</c:v>
                </c:pt>
                <c:pt idx="390">
                  <c:v>42258</c:v>
                </c:pt>
                <c:pt idx="391">
                  <c:v>42257</c:v>
                </c:pt>
                <c:pt idx="392">
                  <c:v>42256</c:v>
                </c:pt>
                <c:pt idx="393">
                  <c:v>42255</c:v>
                </c:pt>
                <c:pt idx="394">
                  <c:v>42251</c:v>
                </c:pt>
                <c:pt idx="395">
                  <c:v>42250</c:v>
                </c:pt>
                <c:pt idx="396">
                  <c:v>42249</c:v>
                </c:pt>
                <c:pt idx="397">
                  <c:v>42248</c:v>
                </c:pt>
                <c:pt idx="398">
                  <c:v>42247</c:v>
                </c:pt>
                <c:pt idx="399">
                  <c:v>42244</c:v>
                </c:pt>
                <c:pt idx="400">
                  <c:v>42243</c:v>
                </c:pt>
                <c:pt idx="401">
                  <c:v>42242</c:v>
                </c:pt>
                <c:pt idx="402">
                  <c:v>42241</c:v>
                </c:pt>
                <c:pt idx="403">
                  <c:v>42240</c:v>
                </c:pt>
                <c:pt idx="404">
                  <c:v>42237</c:v>
                </c:pt>
                <c:pt idx="405">
                  <c:v>42236</c:v>
                </c:pt>
                <c:pt idx="406">
                  <c:v>42235</c:v>
                </c:pt>
                <c:pt idx="407">
                  <c:v>42234</c:v>
                </c:pt>
                <c:pt idx="408">
                  <c:v>42233</c:v>
                </c:pt>
                <c:pt idx="409">
                  <c:v>42230</c:v>
                </c:pt>
                <c:pt idx="410">
                  <c:v>42229</c:v>
                </c:pt>
                <c:pt idx="411">
                  <c:v>42228</c:v>
                </c:pt>
                <c:pt idx="412">
                  <c:v>42227</c:v>
                </c:pt>
                <c:pt idx="413">
                  <c:v>42226</c:v>
                </c:pt>
                <c:pt idx="414">
                  <c:v>42223</c:v>
                </c:pt>
                <c:pt idx="415">
                  <c:v>42222</c:v>
                </c:pt>
                <c:pt idx="416">
                  <c:v>42221</c:v>
                </c:pt>
                <c:pt idx="417">
                  <c:v>42220</c:v>
                </c:pt>
                <c:pt idx="418">
                  <c:v>42219</c:v>
                </c:pt>
                <c:pt idx="419">
                  <c:v>42216</c:v>
                </c:pt>
                <c:pt idx="420">
                  <c:v>42215</c:v>
                </c:pt>
                <c:pt idx="421">
                  <c:v>42214</c:v>
                </c:pt>
                <c:pt idx="422">
                  <c:v>42213</c:v>
                </c:pt>
                <c:pt idx="423">
                  <c:v>42212</c:v>
                </c:pt>
                <c:pt idx="424">
                  <c:v>42209</c:v>
                </c:pt>
                <c:pt idx="425">
                  <c:v>42208</c:v>
                </c:pt>
                <c:pt idx="426">
                  <c:v>42207</c:v>
                </c:pt>
                <c:pt idx="427">
                  <c:v>42206</c:v>
                </c:pt>
                <c:pt idx="428">
                  <c:v>42205</c:v>
                </c:pt>
                <c:pt idx="429">
                  <c:v>42202</c:v>
                </c:pt>
                <c:pt idx="430">
                  <c:v>42201</c:v>
                </c:pt>
                <c:pt idx="431">
                  <c:v>42200</c:v>
                </c:pt>
                <c:pt idx="432">
                  <c:v>42199</c:v>
                </c:pt>
                <c:pt idx="433">
                  <c:v>42198</c:v>
                </c:pt>
                <c:pt idx="434">
                  <c:v>42195</c:v>
                </c:pt>
                <c:pt idx="435">
                  <c:v>42194</c:v>
                </c:pt>
                <c:pt idx="436">
                  <c:v>42193</c:v>
                </c:pt>
                <c:pt idx="437">
                  <c:v>42192</c:v>
                </c:pt>
                <c:pt idx="438">
                  <c:v>42191</c:v>
                </c:pt>
                <c:pt idx="439">
                  <c:v>42187</c:v>
                </c:pt>
                <c:pt idx="440">
                  <c:v>42186</c:v>
                </c:pt>
                <c:pt idx="441">
                  <c:v>42185</c:v>
                </c:pt>
                <c:pt idx="442">
                  <c:v>42184</c:v>
                </c:pt>
                <c:pt idx="443">
                  <c:v>42181</c:v>
                </c:pt>
                <c:pt idx="444">
                  <c:v>42180</c:v>
                </c:pt>
                <c:pt idx="445">
                  <c:v>42179</c:v>
                </c:pt>
                <c:pt idx="446">
                  <c:v>42178</c:v>
                </c:pt>
                <c:pt idx="447">
                  <c:v>42177</c:v>
                </c:pt>
                <c:pt idx="448">
                  <c:v>42174</c:v>
                </c:pt>
                <c:pt idx="449">
                  <c:v>42173</c:v>
                </c:pt>
                <c:pt idx="450">
                  <c:v>42172</c:v>
                </c:pt>
                <c:pt idx="451">
                  <c:v>42171</c:v>
                </c:pt>
                <c:pt idx="452">
                  <c:v>42170</c:v>
                </c:pt>
                <c:pt idx="453">
                  <c:v>42167</c:v>
                </c:pt>
                <c:pt idx="454">
                  <c:v>42166</c:v>
                </c:pt>
                <c:pt idx="455">
                  <c:v>42165</c:v>
                </c:pt>
                <c:pt idx="456">
                  <c:v>42164</c:v>
                </c:pt>
                <c:pt idx="457">
                  <c:v>42163</c:v>
                </c:pt>
                <c:pt idx="458">
                  <c:v>42160</c:v>
                </c:pt>
                <c:pt idx="459">
                  <c:v>42159</c:v>
                </c:pt>
                <c:pt idx="460">
                  <c:v>42158</c:v>
                </c:pt>
                <c:pt idx="461">
                  <c:v>42157</c:v>
                </c:pt>
                <c:pt idx="462">
                  <c:v>42156</c:v>
                </c:pt>
                <c:pt idx="463">
                  <c:v>42153</c:v>
                </c:pt>
                <c:pt idx="464">
                  <c:v>42152</c:v>
                </c:pt>
                <c:pt idx="465">
                  <c:v>42151</c:v>
                </c:pt>
                <c:pt idx="466">
                  <c:v>42150</c:v>
                </c:pt>
                <c:pt idx="467">
                  <c:v>42146</c:v>
                </c:pt>
                <c:pt idx="468">
                  <c:v>42145</c:v>
                </c:pt>
                <c:pt idx="469">
                  <c:v>42144</c:v>
                </c:pt>
                <c:pt idx="470">
                  <c:v>42143</c:v>
                </c:pt>
                <c:pt idx="471">
                  <c:v>42142</c:v>
                </c:pt>
                <c:pt idx="472">
                  <c:v>42139</c:v>
                </c:pt>
                <c:pt idx="473">
                  <c:v>42138</c:v>
                </c:pt>
                <c:pt idx="474">
                  <c:v>42137</c:v>
                </c:pt>
                <c:pt idx="475">
                  <c:v>42136</c:v>
                </c:pt>
                <c:pt idx="476">
                  <c:v>42135</c:v>
                </c:pt>
                <c:pt idx="477">
                  <c:v>42132</c:v>
                </c:pt>
                <c:pt idx="478">
                  <c:v>42131</c:v>
                </c:pt>
                <c:pt idx="479">
                  <c:v>42130</c:v>
                </c:pt>
                <c:pt idx="480">
                  <c:v>42129</c:v>
                </c:pt>
                <c:pt idx="481">
                  <c:v>42128</c:v>
                </c:pt>
                <c:pt idx="482">
                  <c:v>42125</c:v>
                </c:pt>
                <c:pt idx="483">
                  <c:v>42124</c:v>
                </c:pt>
                <c:pt idx="484">
                  <c:v>42123</c:v>
                </c:pt>
                <c:pt idx="485">
                  <c:v>42122</c:v>
                </c:pt>
                <c:pt idx="486">
                  <c:v>42121</c:v>
                </c:pt>
                <c:pt idx="487">
                  <c:v>42118</c:v>
                </c:pt>
                <c:pt idx="488">
                  <c:v>42117</c:v>
                </c:pt>
                <c:pt idx="489">
                  <c:v>42116</c:v>
                </c:pt>
                <c:pt idx="490">
                  <c:v>42115</c:v>
                </c:pt>
                <c:pt idx="491">
                  <c:v>42114</c:v>
                </c:pt>
                <c:pt idx="492">
                  <c:v>42111</c:v>
                </c:pt>
                <c:pt idx="493">
                  <c:v>42110</c:v>
                </c:pt>
                <c:pt idx="494">
                  <c:v>42109</c:v>
                </c:pt>
                <c:pt idx="495">
                  <c:v>42108</c:v>
                </c:pt>
                <c:pt idx="496">
                  <c:v>42107</c:v>
                </c:pt>
                <c:pt idx="497">
                  <c:v>42104</c:v>
                </c:pt>
                <c:pt idx="498">
                  <c:v>42103</c:v>
                </c:pt>
                <c:pt idx="499">
                  <c:v>42102</c:v>
                </c:pt>
                <c:pt idx="500">
                  <c:v>42101</c:v>
                </c:pt>
                <c:pt idx="501">
                  <c:v>42100</c:v>
                </c:pt>
                <c:pt idx="502">
                  <c:v>42096</c:v>
                </c:pt>
                <c:pt idx="503">
                  <c:v>42095</c:v>
                </c:pt>
                <c:pt idx="504">
                  <c:v>42094</c:v>
                </c:pt>
                <c:pt idx="505">
                  <c:v>42093</c:v>
                </c:pt>
                <c:pt idx="506">
                  <c:v>42090</c:v>
                </c:pt>
                <c:pt idx="507">
                  <c:v>42089</c:v>
                </c:pt>
                <c:pt idx="508">
                  <c:v>42088</c:v>
                </c:pt>
                <c:pt idx="509">
                  <c:v>42087</c:v>
                </c:pt>
                <c:pt idx="510">
                  <c:v>42086</c:v>
                </c:pt>
                <c:pt idx="511">
                  <c:v>42083</c:v>
                </c:pt>
                <c:pt idx="512">
                  <c:v>42082</c:v>
                </c:pt>
                <c:pt idx="513">
                  <c:v>42081</c:v>
                </c:pt>
                <c:pt idx="514">
                  <c:v>42080</c:v>
                </c:pt>
                <c:pt idx="515">
                  <c:v>42079</c:v>
                </c:pt>
                <c:pt idx="516">
                  <c:v>42076</c:v>
                </c:pt>
                <c:pt idx="517">
                  <c:v>42075</c:v>
                </c:pt>
                <c:pt idx="518">
                  <c:v>42074</c:v>
                </c:pt>
                <c:pt idx="519">
                  <c:v>42073</c:v>
                </c:pt>
                <c:pt idx="520">
                  <c:v>42072</c:v>
                </c:pt>
                <c:pt idx="521">
                  <c:v>42069</c:v>
                </c:pt>
                <c:pt idx="522">
                  <c:v>42068</c:v>
                </c:pt>
                <c:pt idx="523">
                  <c:v>42067</c:v>
                </c:pt>
                <c:pt idx="524">
                  <c:v>42066</c:v>
                </c:pt>
                <c:pt idx="525">
                  <c:v>42065</c:v>
                </c:pt>
                <c:pt idx="526">
                  <c:v>42062</c:v>
                </c:pt>
                <c:pt idx="527">
                  <c:v>42061</c:v>
                </c:pt>
                <c:pt idx="528">
                  <c:v>42060</c:v>
                </c:pt>
                <c:pt idx="529">
                  <c:v>42059</c:v>
                </c:pt>
                <c:pt idx="530">
                  <c:v>42058</c:v>
                </c:pt>
                <c:pt idx="531">
                  <c:v>42055</c:v>
                </c:pt>
                <c:pt idx="532">
                  <c:v>42054</c:v>
                </c:pt>
                <c:pt idx="533">
                  <c:v>42053</c:v>
                </c:pt>
                <c:pt idx="534">
                  <c:v>42052</c:v>
                </c:pt>
                <c:pt idx="535">
                  <c:v>42048</c:v>
                </c:pt>
                <c:pt idx="536">
                  <c:v>42047</c:v>
                </c:pt>
                <c:pt idx="537">
                  <c:v>42046</c:v>
                </c:pt>
                <c:pt idx="538">
                  <c:v>42045</c:v>
                </c:pt>
                <c:pt idx="539">
                  <c:v>42044</c:v>
                </c:pt>
                <c:pt idx="540">
                  <c:v>42041</c:v>
                </c:pt>
                <c:pt idx="541">
                  <c:v>42040</c:v>
                </c:pt>
                <c:pt idx="542">
                  <c:v>42039</c:v>
                </c:pt>
                <c:pt idx="543">
                  <c:v>42038</c:v>
                </c:pt>
                <c:pt idx="544">
                  <c:v>42037</c:v>
                </c:pt>
                <c:pt idx="545">
                  <c:v>42034</c:v>
                </c:pt>
                <c:pt idx="546">
                  <c:v>42033</c:v>
                </c:pt>
                <c:pt idx="547">
                  <c:v>42032</c:v>
                </c:pt>
                <c:pt idx="548">
                  <c:v>42031</c:v>
                </c:pt>
                <c:pt idx="549">
                  <c:v>42030</c:v>
                </c:pt>
                <c:pt idx="550">
                  <c:v>42027</c:v>
                </c:pt>
                <c:pt idx="551">
                  <c:v>42026</c:v>
                </c:pt>
                <c:pt idx="552">
                  <c:v>42025</c:v>
                </c:pt>
                <c:pt idx="553">
                  <c:v>42024</c:v>
                </c:pt>
                <c:pt idx="554">
                  <c:v>42020</c:v>
                </c:pt>
                <c:pt idx="555">
                  <c:v>42019</c:v>
                </c:pt>
                <c:pt idx="556">
                  <c:v>42018</c:v>
                </c:pt>
                <c:pt idx="557">
                  <c:v>42017</c:v>
                </c:pt>
                <c:pt idx="558">
                  <c:v>42016</c:v>
                </c:pt>
                <c:pt idx="559">
                  <c:v>42013</c:v>
                </c:pt>
                <c:pt idx="560">
                  <c:v>42012</c:v>
                </c:pt>
                <c:pt idx="561">
                  <c:v>42011</c:v>
                </c:pt>
                <c:pt idx="562">
                  <c:v>42010</c:v>
                </c:pt>
                <c:pt idx="563">
                  <c:v>42009</c:v>
                </c:pt>
                <c:pt idx="564">
                  <c:v>42006</c:v>
                </c:pt>
              </c:numCache>
            </c:numRef>
          </c:cat>
          <c:val>
            <c:numRef>
              <c:f>'Graf 3+4'!$M$3:$M$567</c:f>
              <c:numCache>
                <c:formatCode>General</c:formatCode>
                <c:ptCount val="565"/>
                <c:pt idx="0">
                  <c:v>1.1613453002259959</c:v>
                </c:pt>
                <c:pt idx="1">
                  <c:v>1.158410264882749</c:v>
                </c:pt>
                <c:pt idx="2">
                  <c:v>1.1573248614391369</c:v>
                </c:pt>
                <c:pt idx="3">
                  <c:v>1.1500733784724346</c:v>
                </c:pt>
                <c:pt idx="4">
                  <c:v>1.1510930117457558</c:v>
                </c:pt>
                <c:pt idx="5">
                  <c:v>1.1519370159060998</c:v>
                </c:pt>
                <c:pt idx="6">
                  <c:v>1.1529972897037108</c:v>
                </c:pt>
                <c:pt idx="7">
                  <c:v>1.1511073740886566</c:v>
                </c:pt>
                <c:pt idx="8">
                  <c:v>1.1635153674485892</c:v>
                </c:pt>
                <c:pt idx="9">
                  <c:v>1.1655252486637684</c:v>
                </c:pt>
                <c:pt idx="10">
                  <c:v>1.1668396126040048</c:v>
                </c:pt>
                <c:pt idx="11">
                  <c:v>1.1684662696560664</c:v>
                </c:pt>
                <c:pt idx="12">
                  <c:v>1.1600915418030149</c:v>
                </c:pt>
                <c:pt idx="13">
                  <c:v>1.1634705607078253</c:v>
                </c:pt>
                <c:pt idx="14">
                  <c:v>1.16310387437216</c:v>
                </c:pt>
                <c:pt idx="15">
                  <c:v>1.1598351957555764</c:v>
                </c:pt>
                <c:pt idx="16">
                  <c:v>1.1590353582622415</c:v>
                </c:pt>
                <c:pt idx="17">
                  <c:v>1.1613196104335479</c:v>
                </c:pt>
                <c:pt idx="18">
                  <c:v>1.1642329143812433</c:v>
                </c:pt>
                <c:pt idx="19">
                  <c:v>1.1675101308034126</c:v>
                </c:pt>
                <c:pt idx="20">
                  <c:v>1.1670063355458051</c:v>
                </c:pt>
                <c:pt idx="21">
                  <c:v>1.1728661996503811</c:v>
                </c:pt>
                <c:pt idx="22">
                  <c:v>1.1591923745331889</c:v>
                </c:pt>
                <c:pt idx="23">
                  <c:v>1.1617707055807678</c:v>
                </c:pt>
                <c:pt idx="24">
                  <c:v>1.1607526853555363</c:v>
                </c:pt>
                <c:pt idx="25">
                  <c:v>1.159259333520998</c:v>
                </c:pt>
                <c:pt idx="26">
                  <c:v>1.1588403426541527</c:v>
                </c:pt>
                <c:pt idx="27">
                  <c:v>1.1599226211886799</c:v>
                </c:pt>
                <c:pt idx="28">
                  <c:v>1.1538745427933348</c:v>
                </c:pt>
                <c:pt idx="29">
                  <c:v>1.1521959613224881</c:v>
                </c:pt>
                <c:pt idx="30">
                  <c:v>1.1530600668880941</c:v>
                </c:pt>
                <c:pt idx="31">
                  <c:v>1.1480677243800299</c:v>
                </c:pt>
                <c:pt idx="32">
                  <c:v>1.1440604227586402</c:v>
                </c:pt>
                <c:pt idx="33">
                  <c:v>1.1388145352753711</c:v>
                </c:pt>
                <c:pt idx="34">
                  <c:v>1.1352484765285613</c:v>
                </c:pt>
                <c:pt idx="35">
                  <c:v>1.1294960153903588</c:v>
                </c:pt>
                <c:pt idx="36">
                  <c:v>1.1288026248414029</c:v>
                </c:pt>
                <c:pt idx="37">
                  <c:v>1.1285758041693157</c:v>
                </c:pt>
                <c:pt idx="38">
                  <c:v>1.130691220592956</c:v>
                </c:pt>
                <c:pt idx="39">
                  <c:v>1.1234263851149544</c:v>
                </c:pt>
                <c:pt idx="40">
                  <c:v>1.1228560971195169</c:v>
                </c:pt>
                <c:pt idx="41">
                  <c:v>1.1225577036174741</c:v>
                </c:pt>
                <c:pt idx="42">
                  <c:v>1.1234477031790506</c:v>
                </c:pt>
                <c:pt idx="43">
                  <c:v>1.1294572295202991</c:v>
                </c:pt>
                <c:pt idx="44">
                  <c:v>1.1303236976394975</c:v>
                </c:pt>
                <c:pt idx="45">
                  <c:v>1.131059001354739</c:v>
                </c:pt>
                <c:pt idx="46">
                  <c:v>1.1230329319796759</c:v>
                </c:pt>
                <c:pt idx="47">
                  <c:v>1.1164683902173587</c:v>
                </c:pt>
                <c:pt idx="48">
                  <c:v>1.119158467749708</c:v>
                </c:pt>
                <c:pt idx="49">
                  <c:v>1.1157922824504842</c:v>
                </c:pt>
                <c:pt idx="50">
                  <c:v>1.119401612127537</c:v>
                </c:pt>
                <c:pt idx="51">
                  <c:v>1.1176378581535786</c:v>
                </c:pt>
                <c:pt idx="52">
                  <c:v>1.1206053607034328</c:v>
                </c:pt>
                <c:pt idx="53">
                  <c:v>1.1187554990026172</c:v>
                </c:pt>
                <c:pt idx="54">
                  <c:v>1.120900252268092</c:v>
                </c:pt>
                <c:pt idx="55">
                  <c:v>1.1180706872806532</c:v>
                </c:pt>
                <c:pt idx="56">
                  <c:v>1.1180706872806532</c:v>
                </c:pt>
                <c:pt idx="57">
                  <c:v>1.1216192472153033</c:v>
                </c:pt>
                <c:pt idx="58">
                  <c:v>1.1181022793880664</c:v>
                </c:pt>
                <c:pt idx="59">
                  <c:v>1.118872949871387</c:v>
                </c:pt>
                <c:pt idx="60">
                  <c:v>1.1131506412830521</c:v>
                </c:pt>
                <c:pt idx="61">
                  <c:v>1.1046640657056299</c:v>
                </c:pt>
                <c:pt idx="62">
                  <c:v>1.1093011463454849</c:v>
                </c:pt>
                <c:pt idx="63">
                  <c:v>1.1095944901088188</c:v>
                </c:pt>
                <c:pt idx="64">
                  <c:v>1.1179510360698215</c:v>
                </c:pt>
                <c:pt idx="65">
                  <c:v>1.1157025942973955</c:v>
                </c:pt>
                <c:pt idx="66">
                  <c:v>1.1144509135953928</c:v>
                </c:pt>
                <c:pt idx="67">
                  <c:v>1.1163139002013138</c:v>
                </c:pt>
                <c:pt idx="68">
                  <c:v>1.1187712272636192</c:v>
                </c:pt>
                <c:pt idx="69">
                  <c:v>1.1151337064351661</c:v>
                </c:pt>
                <c:pt idx="70">
                  <c:v>1.1131585683747871</c:v>
                </c:pt>
                <c:pt idx="71">
                  <c:v>1.1149092082867247</c:v>
                </c:pt>
                <c:pt idx="72">
                  <c:v>1.1110259802813283</c:v>
                </c:pt>
                <c:pt idx="73">
                  <c:v>1.1191431778232785</c:v>
                </c:pt>
                <c:pt idx="74">
                  <c:v>1.1126034075127724</c:v>
                </c:pt>
                <c:pt idx="75">
                  <c:v>1.1137408121942771</c:v>
                </c:pt>
                <c:pt idx="76">
                  <c:v>1.1078018666910028</c:v>
                </c:pt>
                <c:pt idx="77">
                  <c:v>1.1056424538371425</c:v>
                </c:pt>
                <c:pt idx="78">
                  <c:v>1.0924792655610593</c:v>
                </c:pt>
                <c:pt idx="79">
                  <c:v>1.0890683861256685</c:v>
                </c:pt>
                <c:pt idx="80">
                  <c:v>1.0832470854573137</c:v>
                </c:pt>
                <c:pt idx="81">
                  <c:v>1.0828500209959522</c:v>
                </c:pt>
                <c:pt idx="82">
                  <c:v>1.0863655589460253</c:v>
                </c:pt>
                <c:pt idx="83">
                  <c:v>1.0890190293224098</c:v>
                </c:pt>
                <c:pt idx="84">
                  <c:v>1.0876837096632341</c:v>
                </c:pt>
                <c:pt idx="85">
                  <c:v>1.0929381881686671</c:v>
                </c:pt>
                <c:pt idx="86">
                  <c:v>1.0890238589114372</c:v>
                </c:pt>
                <c:pt idx="87">
                  <c:v>1.0882158477990149</c:v>
                </c:pt>
                <c:pt idx="88">
                  <c:v>1.086050420036047</c:v>
                </c:pt>
                <c:pt idx="89">
                  <c:v>1.0785890331713879</c:v>
                </c:pt>
                <c:pt idx="90">
                  <c:v>1.0809757334896144</c:v>
                </c:pt>
                <c:pt idx="91">
                  <c:v>1.0762994447540501</c:v>
                </c:pt>
                <c:pt idx="92">
                  <c:v>1.0778817304919226</c:v>
                </c:pt>
                <c:pt idx="93">
                  <c:v>1.0704009061688473</c:v>
                </c:pt>
                <c:pt idx="94">
                  <c:v>1.0705164089524644</c:v>
                </c:pt>
                <c:pt idx="95">
                  <c:v>1.0719143457269675</c:v>
                </c:pt>
                <c:pt idx="96">
                  <c:v>1.0699635862251045</c:v>
                </c:pt>
                <c:pt idx="97">
                  <c:v>1.0588865423469236</c:v>
                </c:pt>
                <c:pt idx="98">
                  <c:v>1.0551145861841853</c:v>
                </c:pt>
                <c:pt idx="99">
                  <c:v>1.0328910850955499</c:v>
                </c:pt>
                <c:pt idx="100">
                  <c:v>1.034557225108764</c:v>
                </c:pt>
                <c:pt idx="101">
                  <c:v>1.0389806118595768</c:v>
                </c:pt>
                <c:pt idx="102">
                  <c:v>1.045506098192992</c:v>
                </c:pt>
                <c:pt idx="103">
                  <c:v>1.0522930135094093</c:v>
                </c:pt>
                <c:pt idx="104">
                  <c:v>1.0524152853196433</c:v>
                </c:pt>
                <c:pt idx="105">
                  <c:v>1.0555235252026272</c:v>
                </c:pt>
                <c:pt idx="106">
                  <c:v>1.0585103020544055</c:v>
                </c:pt>
                <c:pt idx="107">
                  <c:v>1.0602507227416154</c:v>
                </c:pt>
                <c:pt idx="108">
                  <c:v>1.0640483734971946</c:v>
                </c:pt>
                <c:pt idx="109">
                  <c:v>1.0592986116858403</c:v>
                </c:pt>
                <c:pt idx="110">
                  <c:v>1.0593826711999763</c:v>
                </c:pt>
                <c:pt idx="111">
                  <c:v>1.0607584179506491</c:v>
                </c:pt>
                <c:pt idx="112">
                  <c:v>1.0585664194462554</c:v>
                </c:pt>
                <c:pt idx="113">
                  <c:v>1.0524060620514755</c:v>
                </c:pt>
                <c:pt idx="114">
                  <c:v>1.0554440652207502</c:v>
                </c:pt>
                <c:pt idx="115">
                  <c:v>1.0552424286823339</c:v>
                </c:pt>
                <c:pt idx="116">
                  <c:v>1.0583417471127605</c:v>
                </c:pt>
                <c:pt idx="117">
                  <c:v>1.0571951352338615</c:v>
                </c:pt>
                <c:pt idx="118">
                  <c:v>1.0696416379191263</c:v>
                </c:pt>
                <c:pt idx="119">
                  <c:v>1.0650356966263055</c:v>
                </c:pt>
                <c:pt idx="120">
                  <c:v>1.0682891664541909</c:v>
                </c:pt>
                <c:pt idx="121">
                  <c:v>1.0678076247800004</c:v>
                </c:pt>
                <c:pt idx="122">
                  <c:v>1.0635109296082019</c:v>
                </c:pt>
                <c:pt idx="123">
                  <c:v>1.0684665098414059</c:v>
                </c:pt>
                <c:pt idx="124">
                  <c:v>1.0717271738730996</c:v>
                </c:pt>
                <c:pt idx="125">
                  <c:v>1.0637592686325981</c:v>
                </c:pt>
                <c:pt idx="126">
                  <c:v>1.0730805726940891</c:v>
                </c:pt>
                <c:pt idx="127">
                  <c:v>1.0677841047529983</c:v>
                </c:pt>
                <c:pt idx="128">
                  <c:v>1.0613398570478587</c:v>
                </c:pt>
                <c:pt idx="129">
                  <c:v>1.0699276917955594</c:v>
                </c:pt>
                <c:pt idx="130">
                  <c:v>1.0756644705644254</c:v>
                </c:pt>
                <c:pt idx="131">
                  <c:v>1.069164600007082</c:v>
                </c:pt>
                <c:pt idx="132">
                  <c:v>1.0582474878075834</c:v>
                </c:pt>
                <c:pt idx="133">
                  <c:v>1.0579482993562572</c:v>
                </c:pt>
                <c:pt idx="134">
                  <c:v>1.0579669982848086</c:v>
                </c:pt>
                <c:pt idx="135">
                  <c:v>1.0617392475699443</c:v>
                </c:pt>
                <c:pt idx="136">
                  <c:v>1.0516299695201083</c:v>
                </c:pt>
                <c:pt idx="137">
                  <c:v>1.0522176461757109</c:v>
                </c:pt>
                <c:pt idx="138">
                  <c:v>1.0670483116566656</c:v>
                </c:pt>
                <c:pt idx="139">
                  <c:v>1.0523712493249722</c:v>
                </c:pt>
                <c:pt idx="140">
                  <c:v>1.0768933233175457</c:v>
                </c:pt>
                <c:pt idx="141">
                  <c:v>1.079116399396149</c:v>
                </c:pt>
                <c:pt idx="142">
                  <c:v>1.079262753353194</c:v>
                </c:pt>
                <c:pt idx="143">
                  <c:v>1.0762810746221962</c:v>
                </c:pt>
                <c:pt idx="144">
                  <c:v>1.0720799745973215</c:v>
                </c:pt>
                <c:pt idx="145">
                  <c:v>1.0721214311025378</c:v>
                </c:pt>
                <c:pt idx="146">
                  <c:v>1.0744972192024589</c:v>
                </c:pt>
                <c:pt idx="147">
                  <c:v>1.0764510070742976</c:v>
                </c:pt>
                <c:pt idx="148">
                  <c:v>1.0712228877219574</c:v>
                </c:pt>
                <c:pt idx="149">
                  <c:v>1.0728017357612858</c:v>
                </c:pt>
                <c:pt idx="150">
                  <c:v>1.074166976815969</c:v>
                </c:pt>
                <c:pt idx="151">
                  <c:v>1.0794072712967409</c:v>
                </c:pt>
                <c:pt idx="152">
                  <c:v>1.0774555064614955</c:v>
                </c:pt>
                <c:pt idx="153">
                  <c:v>1.0780187267997023</c:v>
                </c:pt>
                <c:pt idx="154">
                  <c:v>1.079459042846195</c:v>
                </c:pt>
                <c:pt idx="155">
                  <c:v>1.0772594479382569</c:v>
                </c:pt>
                <c:pt idx="156">
                  <c:v>1.0753908897581499</c:v>
                </c:pt>
                <c:pt idx="157">
                  <c:v>1.0808699665337134</c:v>
                </c:pt>
                <c:pt idx="158">
                  <c:v>1.0780769901824394</c:v>
                </c:pt>
                <c:pt idx="159">
                  <c:v>1.0788730410381939</c:v>
                </c:pt>
                <c:pt idx="160">
                  <c:v>1.0741384754920409</c:v>
                </c:pt>
                <c:pt idx="161">
                  <c:v>1.0770031614766218</c:v>
                </c:pt>
                <c:pt idx="162">
                  <c:v>1.0766134123375086</c:v>
                </c:pt>
                <c:pt idx="163">
                  <c:v>1.077520475057689</c:v>
                </c:pt>
                <c:pt idx="164">
                  <c:v>1.0689170327566608</c:v>
                </c:pt>
                <c:pt idx="165">
                  <c:v>1.0687044428103167</c:v>
                </c:pt>
                <c:pt idx="166">
                  <c:v>1.0655705040148433</c:v>
                </c:pt>
                <c:pt idx="167">
                  <c:v>1.0719320967623509</c:v>
                </c:pt>
                <c:pt idx="168">
                  <c:v>1.0732018796110809</c:v>
                </c:pt>
                <c:pt idx="169">
                  <c:v>1.0715705883103794</c:v>
                </c:pt>
                <c:pt idx="170">
                  <c:v>1.0699643702155015</c:v>
                </c:pt>
                <c:pt idx="171">
                  <c:v>1.0711629798283506</c:v>
                </c:pt>
                <c:pt idx="172">
                  <c:v>1.0708401730696995</c:v>
                </c:pt>
                <c:pt idx="173">
                  <c:v>1.0738516257852941</c:v>
                </c:pt>
                <c:pt idx="174">
                  <c:v>1.0692977108502082</c:v>
                </c:pt>
                <c:pt idx="175">
                  <c:v>1.0729101948586388</c:v>
                </c:pt>
                <c:pt idx="176">
                  <c:v>1.0686398901141638</c:v>
                </c:pt>
                <c:pt idx="177">
                  <c:v>1.0700751267897681</c:v>
                </c:pt>
                <c:pt idx="178">
                  <c:v>1.0676927866378536</c:v>
                </c:pt>
                <c:pt idx="179">
                  <c:v>1.0686217294454794</c:v>
                </c:pt>
                <c:pt idx="180">
                  <c:v>1.0633625572540493</c:v>
                </c:pt>
                <c:pt idx="181">
                  <c:v>1.0632278076559749</c:v>
                </c:pt>
                <c:pt idx="182">
                  <c:v>1.0562185055915529</c:v>
                </c:pt>
                <c:pt idx="183">
                  <c:v>1.0528098948586546</c:v>
                </c:pt>
                <c:pt idx="184">
                  <c:v>1.0375565462719729</c:v>
                </c:pt>
                <c:pt idx="185">
                  <c:v>1.0384280868986249</c:v>
                </c:pt>
                <c:pt idx="186">
                  <c:v>1.0330750908008537</c:v>
                </c:pt>
                <c:pt idx="187">
                  <c:v>1.0399226145175371</c:v>
                </c:pt>
                <c:pt idx="188">
                  <c:v>1.0379739376167434</c:v>
                </c:pt>
                <c:pt idx="189">
                  <c:v>1.0244089352263281</c:v>
                </c:pt>
                <c:pt idx="190">
                  <c:v>1.0073762893216776</c:v>
                </c:pt>
                <c:pt idx="191">
                  <c:v>0.98960608727623001</c:v>
                </c:pt>
                <c:pt idx="192">
                  <c:v>1.0077025921525191</c:v>
                </c:pt>
                <c:pt idx="193">
                  <c:v>1.0436223771353896</c:v>
                </c:pt>
                <c:pt idx="194">
                  <c:v>1.0302583549818976</c:v>
                </c:pt>
                <c:pt idx="195">
                  <c:v>1.0319099419415414</c:v>
                </c:pt>
                <c:pt idx="196">
                  <c:v>1.0291978334572018</c:v>
                </c:pt>
                <c:pt idx="197">
                  <c:v>1.0233896624275673</c:v>
                </c:pt>
                <c:pt idx="198">
                  <c:v>1.0266476184331306</c:v>
                </c:pt>
                <c:pt idx="199">
                  <c:v>1.0235146230191794</c:v>
                </c:pt>
                <c:pt idx="200">
                  <c:v>1.025355303010699</c:v>
                </c:pt>
                <c:pt idx="201">
                  <c:v>1.0271541928936267</c:v>
                </c:pt>
                <c:pt idx="202">
                  <c:v>1.0352693798864276</c:v>
                </c:pt>
                <c:pt idx="203">
                  <c:v>1.044444602530934</c:v>
                </c:pt>
                <c:pt idx="204">
                  <c:v>1.0461622966681228</c:v>
                </c:pt>
                <c:pt idx="205">
                  <c:v>1.0428528412842213</c:v>
                </c:pt>
                <c:pt idx="206">
                  <c:v>1.0415633811982254</c:v>
                </c:pt>
                <c:pt idx="207">
                  <c:v>1.0366661142352456</c:v>
                </c:pt>
                <c:pt idx="208">
                  <c:v>1.0395778686028772</c:v>
                </c:pt>
                <c:pt idx="209">
                  <c:v>1.0367531578618308</c:v>
                </c:pt>
                <c:pt idx="210">
                  <c:v>1.0356229503232988</c:v>
                </c:pt>
                <c:pt idx="211">
                  <c:v>1.0366233981427988</c:v>
                </c:pt>
                <c:pt idx="212">
                  <c:v>1.0323365219167808</c:v>
                </c:pt>
                <c:pt idx="213">
                  <c:v>1.0325469938522618</c:v>
                </c:pt>
                <c:pt idx="214">
                  <c:v>1.0255722436041959</c:v>
                </c:pt>
                <c:pt idx="215">
                  <c:v>1.0118908701935205</c:v>
                </c:pt>
                <c:pt idx="216">
                  <c:v>1.0139763149584695</c:v>
                </c:pt>
                <c:pt idx="217">
                  <c:v>1.0079568251445439</c:v>
                </c:pt>
                <c:pt idx="218">
                  <c:v>1.011663549503925</c:v>
                </c:pt>
                <c:pt idx="219">
                  <c:v>1.0114583922411136</c:v>
                </c:pt>
                <c:pt idx="220">
                  <c:v>1.020869712922793</c:v>
                </c:pt>
                <c:pt idx="221">
                  <c:v>1.011073024740873</c:v>
                </c:pt>
                <c:pt idx="222">
                  <c:v>1.0195512550677455</c:v>
                </c:pt>
                <c:pt idx="223">
                  <c:v>1.0197207909270016</c:v>
                </c:pt>
                <c:pt idx="224">
                  <c:v>1.0292823413086478</c:v>
                </c:pt>
                <c:pt idx="225">
                  <c:v>1.0167986745108299</c:v>
                </c:pt>
                <c:pt idx="226">
                  <c:v>1.0160452012421168</c:v>
                </c:pt>
                <c:pt idx="227">
                  <c:v>1.0128705671052907</c:v>
                </c:pt>
                <c:pt idx="228">
                  <c:v>1.0131094609779066</c:v>
                </c:pt>
                <c:pt idx="229">
                  <c:v>1.0190463506293019</c:v>
                </c:pt>
                <c:pt idx="230">
                  <c:v>1.027723077687142</c:v>
                </c:pt>
                <c:pt idx="231">
                  <c:v>1.0199130742978042</c:v>
                </c:pt>
                <c:pt idx="232">
                  <c:v>1.0249761581060524</c:v>
                </c:pt>
                <c:pt idx="233">
                  <c:v>1.0342070007664823</c:v>
                </c:pt>
                <c:pt idx="234">
                  <c:v>1.0325576246609218</c:v>
                </c:pt>
                <c:pt idx="235">
                  <c:v>1.0306848309412473</c:v>
                </c:pt>
                <c:pt idx="236">
                  <c:v>1.0324968582124967</c:v>
                </c:pt>
                <c:pt idx="237">
                  <c:v>1.0324490451805768</c:v>
                </c:pt>
                <c:pt idx="238">
                  <c:v>1.0376431091075173</c:v>
                </c:pt>
                <c:pt idx="239">
                  <c:v>1.0368814944845166</c:v>
                </c:pt>
                <c:pt idx="240">
                  <c:v>1.0337969905357789</c:v>
                </c:pt>
                <c:pt idx="241">
                  <c:v>1.0272560169351674</c:v>
                </c:pt>
                <c:pt idx="242">
                  <c:v>1.0282402783550006</c:v>
                </c:pt>
                <c:pt idx="243">
                  <c:v>1.0280674025662546</c:v>
                </c:pt>
                <c:pt idx="244">
                  <c:v>1.0180272419236842</c:v>
                </c:pt>
                <c:pt idx="245">
                  <c:v>1.008365098622297</c:v>
                </c:pt>
                <c:pt idx="246">
                  <c:v>1.0111048915506031</c:v>
                </c:pt>
                <c:pt idx="247">
                  <c:v>1.0083182848931109</c:v>
                </c:pt>
                <c:pt idx="248">
                  <c:v>1.0202941299764818</c:v>
                </c:pt>
                <c:pt idx="249">
                  <c:v>1.0097864460186692</c:v>
                </c:pt>
                <c:pt idx="250">
                  <c:v>1.0199310158182464</c:v>
                </c:pt>
                <c:pt idx="251">
                  <c:v>1.0231392675381588</c:v>
                </c:pt>
                <c:pt idx="252">
                  <c:v>1.0168083714056371</c:v>
                </c:pt>
                <c:pt idx="253">
                  <c:v>1.0188481495010366</c:v>
                </c:pt>
                <c:pt idx="254">
                  <c:v>1.0144978057070895</c:v>
                </c:pt>
                <c:pt idx="255">
                  <c:v>1.0056811345404513</c:v>
                </c:pt>
                <c:pt idx="256">
                  <c:v>1.0051359318331023</c:v>
                </c:pt>
                <c:pt idx="257">
                  <c:v>1.0055139925290284</c:v>
                </c:pt>
                <c:pt idx="258">
                  <c:v>1.0118999814059921</c:v>
                </c:pt>
                <c:pt idx="259">
                  <c:v>1.0127773454145705</c:v>
                </c:pt>
                <c:pt idx="260">
                  <c:v>1.0117917776397096</c:v>
                </c:pt>
                <c:pt idx="261">
                  <c:v>1.007386189059936</c:v>
                </c:pt>
                <c:pt idx="262">
                  <c:v>1.000790950260003</c:v>
                </c:pt>
                <c:pt idx="263">
                  <c:v>0.9951905573892188</c:v>
                </c:pt>
                <c:pt idx="264">
                  <c:v>0.99702751843178072</c:v>
                </c:pt>
                <c:pt idx="265">
                  <c:v>0.99828852753577202</c:v>
                </c:pt>
                <c:pt idx="266">
                  <c:v>0.98189302498999576</c:v>
                </c:pt>
                <c:pt idx="267">
                  <c:v>0.9817371881461443</c:v>
                </c:pt>
                <c:pt idx="268">
                  <c:v>0.97668479482742931</c:v>
                </c:pt>
                <c:pt idx="269">
                  <c:v>0.98792490353176965</c:v>
                </c:pt>
                <c:pt idx="270">
                  <c:v>0.9870398991067475</c:v>
                </c:pt>
                <c:pt idx="271">
                  <c:v>0.98373398960539316</c:v>
                </c:pt>
                <c:pt idx="272">
                  <c:v>0.9802352858877057</c:v>
                </c:pt>
                <c:pt idx="273">
                  <c:v>0.97614096486260893</c:v>
                </c:pt>
                <c:pt idx="274">
                  <c:v>0.95227217077494863</c:v>
                </c:pt>
                <c:pt idx="275">
                  <c:v>0.96039311222922352</c:v>
                </c:pt>
                <c:pt idx="276">
                  <c:v>0.96226327670122247</c:v>
                </c:pt>
                <c:pt idx="277">
                  <c:v>0.95091495044979735</c:v>
                </c:pt>
                <c:pt idx="278">
                  <c:v>0.94647517884039312</c:v>
                </c:pt>
                <c:pt idx="279">
                  <c:v>0.95892956074735802</c:v>
                </c:pt>
                <c:pt idx="280">
                  <c:v>0.94447534806394273</c:v>
                </c:pt>
                <c:pt idx="281">
                  <c:v>0.9445014191964205</c:v>
                </c:pt>
                <c:pt idx="282">
                  <c:v>0.94916713784164952</c:v>
                </c:pt>
                <c:pt idx="283">
                  <c:v>0.93268669386144287</c:v>
                </c:pt>
                <c:pt idx="284">
                  <c:v>0.91617000020320982</c:v>
                </c:pt>
                <c:pt idx="285">
                  <c:v>0.89665199114947791</c:v>
                </c:pt>
                <c:pt idx="286">
                  <c:v>0.90895313702443614</c:v>
                </c:pt>
                <c:pt idx="287">
                  <c:v>0.90914210047890398</c:v>
                </c:pt>
                <c:pt idx="288">
                  <c:v>0.90980573134906972</c:v>
                </c:pt>
                <c:pt idx="289">
                  <c:v>0.92395961023526962</c:v>
                </c:pt>
                <c:pt idx="290">
                  <c:v>0.9424409070584705</c:v>
                </c:pt>
                <c:pt idx="291">
                  <c:v>0.94091413362223686</c:v>
                </c:pt>
                <c:pt idx="292">
                  <c:v>0.93592209461076559</c:v>
                </c:pt>
                <c:pt idx="293">
                  <c:v>0.95466519807682193</c:v>
                </c:pt>
                <c:pt idx="294">
                  <c:v>0.9551084422115681</c:v>
                </c:pt>
                <c:pt idx="295">
                  <c:v>0.93034822756670388</c:v>
                </c:pt>
                <c:pt idx="296">
                  <c:v>0.92481966865648335</c:v>
                </c:pt>
                <c:pt idx="297">
                  <c:v>0.93568312426497857</c:v>
                </c:pt>
                <c:pt idx="298">
                  <c:v>0.92153881501870227</c:v>
                </c:pt>
                <c:pt idx="299">
                  <c:v>0.93717676142386241</c:v>
                </c:pt>
                <c:pt idx="300">
                  <c:v>0.91689307879313664</c:v>
                </c:pt>
                <c:pt idx="301">
                  <c:v>0.91169765893759713</c:v>
                </c:pt>
                <c:pt idx="302">
                  <c:v>0.92339151381685802</c:v>
                </c:pt>
                <c:pt idx="303">
                  <c:v>0.92285969227489462</c:v>
                </c:pt>
                <c:pt idx="304">
                  <c:v>0.94445878481121381</c:v>
                </c:pt>
                <c:pt idx="305">
                  <c:v>0.92776284558527911</c:v>
                </c:pt>
                <c:pt idx="306">
                  <c:v>0.95272828598802728</c:v>
                </c:pt>
                <c:pt idx="307">
                  <c:v>0.94492549236957912</c:v>
                </c:pt>
                <c:pt idx="308">
                  <c:v>0.94407222785237588</c:v>
                </c:pt>
                <c:pt idx="309">
                  <c:v>0.95491063471978799</c:v>
                </c:pt>
                <c:pt idx="310">
                  <c:v>0.97861105577030405</c:v>
                </c:pt>
                <c:pt idx="311">
                  <c:v>0.99172647643068657</c:v>
                </c:pt>
                <c:pt idx="312">
                  <c:v>0.98971421405154647</c:v>
                </c:pt>
                <c:pt idx="313">
                  <c:v>1.0050179900919392</c:v>
                </c:pt>
                <c:pt idx="314">
                  <c:v>1.0144298232184901</c:v>
                </c:pt>
                <c:pt idx="315">
                  <c:v>1.0216470521874847</c:v>
                </c:pt>
                <c:pt idx="316">
                  <c:v>1.0110173415140102</c:v>
                </c:pt>
                <c:pt idx="317">
                  <c:v>1.0131959061843872</c:v>
                </c:pt>
                <c:pt idx="318">
                  <c:v>1.0147945187824234</c:v>
                </c:pt>
                <c:pt idx="319">
                  <c:v>1.0023764841865246</c:v>
                </c:pt>
                <c:pt idx="320">
                  <c:v>0.99355972145243765</c:v>
                </c:pt>
                <c:pt idx="321">
                  <c:v>0.98578130655378127</c:v>
                </c:pt>
                <c:pt idx="322">
                  <c:v>1.0035785434274622</c:v>
                </c:pt>
                <c:pt idx="323">
                  <c:v>1.0186190389244789</c:v>
                </c:pt>
                <c:pt idx="324">
                  <c:v>1.0041040859781782</c:v>
                </c:pt>
                <c:pt idx="325">
                  <c:v>0.99348557108653979</c:v>
                </c:pt>
                <c:pt idx="326">
                  <c:v>0.98872998439025617</c:v>
                </c:pt>
                <c:pt idx="327">
                  <c:v>1.0081527586407057</c:v>
                </c:pt>
                <c:pt idx="328">
                  <c:v>1.0059013643390289</c:v>
                </c:pt>
                <c:pt idx="329">
                  <c:v>1.0136403047293197</c:v>
                </c:pt>
                <c:pt idx="330">
                  <c:v>1.0201302159985595</c:v>
                </c:pt>
                <c:pt idx="331">
                  <c:v>1.0271197794615965</c:v>
                </c:pt>
                <c:pt idx="332">
                  <c:v>1.0065940234678021</c:v>
                </c:pt>
                <c:pt idx="333">
                  <c:v>1.0209676018588656</c:v>
                </c:pt>
                <c:pt idx="334">
                  <c:v>1.031963354796853</c:v>
                </c:pt>
                <c:pt idx="335">
                  <c:v>1.021282767797175</c:v>
                </c:pt>
                <c:pt idx="336">
                  <c:v>1.0259236718644251</c:v>
                </c:pt>
                <c:pt idx="337">
                  <c:v>1.0253300494752864</c:v>
                </c:pt>
                <c:pt idx="338">
                  <c:v>1.0254592892581638</c:v>
                </c:pt>
                <c:pt idx="339">
                  <c:v>1.0242371996286725</c:v>
                </c:pt>
                <c:pt idx="340">
                  <c:v>1.025472139820232</c:v>
                </c:pt>
                <c:pt idx="341">
                  <c:v>1.0216619113026173</c:v>
                </c:pt>
                <c:pt idx="342">
                  <c:v>1.0227849783314813</c:v>
                </c:pt>
                <c:pt idx="343">
                  <c:v>1.0066225936725788</c:v>
                </c:pt>
                <c:pt idx="344">
                  <c:v>1.0079619728824909</c:v>
                </c:pt>
                <c:pt idx="345">
                  <c:v>0.99305865905775192</c:v>
                </c:pt>
                <c:pt idx="346">
                  <c:v>1.0042660570156889</c:v>
                </c:pt>
                <c:pt idx="347">
                  <c:v>1.0182564184614722</c:v>
                </c:pt>
                <c:pt idx="348">
                  <c:v>1.0214845183019885</c:v>
                </c:pt>
                <c:pt idx="349">
                  <c:v>1.0199738716104974</c:v>
                </c:pt>
                <c:pt idx="350">
                  <c:v>1.0297966612446436</c:v>
                </c:pt>
                <c:pt idx="351">
                  <c:v>1.0301442918799504</c:v>
                </c:pt>
                <c:pt idx="352">
                  <c:v>1.0312763799164437</c:v>
                </c:pt>
                <c:pt idx="353">
                  <c:v>1.0348217564705084</c:v>
                </c:pt>
                <c:pt idx="354">
                  <c:v>1.0320936844189887</c:v>
                </c:pt>
                <c:pt idx="355">
                  <c:v>1.0202198386202812</c:v>
                </c:pt>
                <c:pt idx="356">
                  <c:v>1.0250298088989722</c:v>
                </c:pt>
                <c:pt idx="357">
                  <c:v>1.0254794943583452</c:v>
                </c:pt>
                <c:pt idx="358">
                  <c:v>1.0136395609640214</c:v>
                </c:pt>
                <c:pt idx="359">
                  <c:v>1.0161936605594213</c:v>
                </c:pt>
                <c:pt idx="360">
                  <c:v>1.0181067752740205</c:v>
                </c:pt>
                <c:pt idx="361">
                  <c:v>1.0070763783453822</c:v>
                </c:pt>
                <c:pt idx="362">
                  <c:v>0.99044884112287956</c:v>
                </c:pt>
                <c:pt idx="363">
                  <c:v>0.99627421770417612</c:v>
                </c:pt>
                <c:pt idx="364">
                  <c:v>0.99769530087442093</c:v>
                </c:pt>
                <c:pt idx="365">
                  <c:v>0.99742477935812324</c:v>
                </c:pt>
                <c:pt idx="366">
                  <c:v>0.99285430511583384</c:v>
                </c:pt>
                <c:pt idx="367">
                  <c:v>0.97800152912096872</c:v>
                </c:pt>
                <c:pt idx="368">
                  <c:v>0.98271782755036652</c:v>
                </c:pt>
                <c:pt idx="369">
                  <c:v>0.98954324168497143</c:v>
                </c:pt>
                <c:pt idx="370">
                  <c:v>0.98826773781131094</c:v>
                </c:pt>
                <c:pt idx="371">
                  <c:v>0.98754260706427721</c:v>
                </c:pt>
                <c:pt idx="372">
                  <c:v>0.97872422072876764</c:v>
                </c:pt>
                <c:pt idx="373">
                  <c:v>0.97068854251954706</c:v>
                </c:pt>
                <c:pt idx="374">
                  <c:v>0.9742767763334923</c:v>
                </c:pt>
                <c:pt idx="375">
                  <c:v>0.95598696819967799</c:v>
                </c:pt>
                <c:pt idx="376">
                  <c:v>0.9416716996194574</c:v>
                </c:pt>
                <c:pt idx="377">
                  <c:v>0.93969777212874117</c:v>
                </c:pt>
                <c:pt idx="378">
                  <c:v>0.92062225025876687</c:v>
                </c:pt>
                <c:pt idx="379">
                  <c:v>0.91938936845068198</c:v>
                </c:pt>
                <c:pt idx="380">
                  <c:v>0.94505548627561176</c:v>
                </c:pt>
                <c:pt idx="381">
                  <c:v>0.94552126692397853</c:v>
                </c:pt>
                <c:pt idx="382">
                  <c:v>0.94888424119619375</c:v>
                </c:pt>
                <c:pt idx="383">
                  <c:v>0.9509328941296793</c:v>
                </c:pt>
                <c:pt idx="384">
                  <c:v>0.96325133315010159</c:v>
                </c:pt>
                <c:pt idx="385">
                  <c:v>0.95868551955173986</c:v>
                </c:pt>
                <c:pt idx="386">
                  <c:v>0.97484972415429239</c:v>
                </c:pt>
                <c:pt idx="387">
                  <c:v>0.97741072971232579</c:v>
                </c:pt>
                <c:pt idx="388">
                  <c:v>0.96870536241356797</c:v>
                </c:pt>
                <c:pt idx="389">
                  <c:v>0.95587401829699026</c:v>
                </c:pt>
                <c:pt idx="390">
                  <c:v>0.95996366414997714</c:v>
                </c:pt>
                <c:pt idx="391">
                  <c:v>0.95547662585136361</c:v>
                </c:pt>
                <c:pt idx="392">
                  <c:v>0.95019867071140762</c:v>
                </c:pt>
                <c:pt idx="393">
                  <c:v>0.96409623394100441</c:v>
                </c:pt>
                <c:pt idx="394">
                  <c:v>0.93901321377673375</c:v>
                </c:pt>
                <c:pt idx="395">
                  <c:v>0.95434279202113581</c:v>
                </c:pt>
                <c:pt idx="396">
                  <c:v>0.95317800850667078</c:v>
                </c:pt>
                <c:pt idx="397">
                  <c:v>0.93488503883820151</c:v>
                </c:pt>
                <c:pt idx="398">
                  <c:v>0.96446144667115785</c:v>
                </c:pt>
                <c:pt idx="399">
                  <c:v>0.9728531464805974</c:v>
                </c:pt>
                <c:pt idx="400">
                  <c:v>0.97224439045592526</c:v>
                </c:pt>
                <c:pt idx="401">
                  <c:v>0.94794665429378222</c:v>
                </c:pt>
                <c:pt idx="402">
                  <c:v>0.90891280889779469</c:v>
                </c:pt>
                <c:pt idx="403">
                  <c:v>0.92243481649336001</c:v>
                </c:pt>
                <c:pt idx="404">
                  <c:v>0.96184848240064058</c:v>
                </c:pt>
                <c:pt idx="405">
                  <c:v>0.99369946460358483</c:v>
                </c:pt>
                <c:pt idx="406">
                  <c:v>1.0147995747203855</c:v>
                </c:pt>
                <c:pt idx="407">
                  <c:v>1.0230545391443977</c:v>
                </c:pt>
                <c:pt idx="408">
                  <c:v>1.0256800599678217</c:v>
                </c:pt>
                <c:pt idx="409">
                  <c:v>1.0204685889942806</c:v>
                </c:pt>
                <c:pt idx="410">
                  <c:v>1.0165566953977865</c:v>
                </c:pt>
                <c:pt idx="411">
                  <c:v>1.0178318326188505</c:v>
                </c:pt>
                <c:pt idx="412">
                  <c:v>1.0168817685615013</c:v>
                </c:pt>
                <c:pt idx="413">
                  <c:v>1.0264389357240065</c:v>
                </c:pt>
                <c:pt idx="414">
                  <c:v>1.0136307030290794</c:v>
                </c:pt>
                <c:pt idx="415">
                  <c:v>1.0165055902413505</c:v>
                </c:pt>
                <c:pt idx="416">
                  <c:v>1.0242585618963336</c:v>
                </c:pt>
                <c:pt idx="417">
                  <c:v>1.0211438923761458</c:v>
                </c:pt>
                <c:pt idx="418">
                  <c:v>1.0233936111612976</c:v>
                </c:pt>
                <c:pt idx="419">
                  <c:v>1.0261504748011183</c:v>
                </c:pt>
                <c:pt idx="420">
                  <c:v>1.0284220919174452</c:v>
                </c:pt>
                <c:pt idx="421">
                  <c:v>1.0283936366136137</c:v>
                </c:pt>
                <c:pt idx="422">
                  <c:v>1.0210748739240159</c:v>
                </c:pt>
                <c:pt idx="423">
                  <c:v>1.0086887718946489</c:v>
                </c:pt>
                <c:pt idx="424">
                  <c:v>1.0144637821127143</c:v>
                </c:pt>
                <c:pt idx="425">
                  <c:v>1.0251671096583221</c:v>
                </c:pt>
                <c:pt idx="426">
                  <c:v>1.0308431496744044</c:v>
                </c:pt>
                <c:pt idx="427">
                  <c:v>1.0332308318767343</c:v>
                </c:pt>
                <c:pt idx="428">
                  <c:v>1.0374924891774655</c:v>
                </c:pt>
                <c:pt idx="429">
                  <c:v>1.0367213196330196</c:v>
                </c:pt>
                <c:pt idx="430">
                  <c:v>1.035615067661773</c:v>
                </c:pt>
                <c:pt idx="431">
                  <c:v>1.0276004524961664</c:v>
                </c:pt>
                <c:pt idx="432">
                  <c:v>1.0283354153923945</c:v>
                </c:pt>
                <c:pt idx="433">
                  <c:v>1.0238821862058831</c:v>
                </c:pt>
                <c:pt idx="434">
                  <c:v>1.0128161269364933</c:v>
                </c:pt>
                <c:pt idx="435">
                  <c:v>1.0004776700479683</c:v>
                </c:pt>
                <c:pt idx="436">
                  <c:v>0.99821546980171583</c:v>
                </c:pt>
                <c:pt idx="437">
                  <c:v>1.0148682031369711</c:v>
                </c:pt>
                <c:pt idx="438">
                  <c:v>1.0087872657638588</c:v>
                </c:pt>
                <c:pt idx="439">
                  <c:v>1.0126490132768358</c:v>
                </c:pt>
                <c:pt idx="440">
                  <c:v>1.0129570877153218</c:v>
                </c:pt>
                <c:pt idx="441">
                  <c:v>1.0060209573102536</c:v>
                </c:pt>
                <c:pt idx="442">
                  <c:v>1.0033625719755981</c:v>
                </c:pt>
                <c:pt idx="443">
                  <c:v>1.0242287193281907</c:v>
                </c:pt>
                <c:pt idx="444">
                  <c:v>1.0246187664668147</c:v>
                </c:pt>
                <c:pt idx="445">
                  <c:v>1.0275923316149238</c:v>
                </c:pt>
                <c:pt idx="446">
                  <c:v>1.0349456881726868</c:v>
                </c:pt>
                <c:pt idx="447">
                  <c:v>1.0343097506358849</c:v>
                </c:pt>
                <c:pt idx="448">
                  <c:v>1.0282149350206451</c:v>
                </c:pt>
                <c:pt idx="449">
                  <c:v>1.0335184367460508</c:v>
                </c:pt>
                <c:pt idx="450">
                  <c:v>1.0236157496900056</c:v>
                </c:pt>
                <c:pt idx="451">
                  <c:v>1.0216360617651477</c:v>
                </c:pt>
                <c:pt idx="452">
                  <c:v>1.0159462568784399</c:v>
                </c:pt>
                <c:pt idx="453">
                  <c:v>1.0205687456684274</c:v>
                </c:pt>
                <c:pt idx="454">
                  <c:v>1.0275630459064709</c:v>
                </c:pt>
                <c:pt idx="455">
                  <c:v>1.0258244937499059</c:v>
                </c:pt>
                <c:pt idx="456">
                  <c:v>1.0137820929615011</c:v>
                </c:pt>
                <c:pt idx="457">
                  <c:v>1.0133636788950935</c:v>
                </c:pt>
                <c:pt idx="458">
                  <c:v>1.0198381655949209</c:v>
                </c:pt>
                <c:pt idx="459">
                  <c:v>1.0212743439291452</c:v>
                </c:pt>
                <c:pt idx="460">
                  <c:v>1.0298975210235648</c:v>
                </c:pt>
                <c:pt idx="461">
                  <c:v>1.0277786359268637</c:v>
                </c:pt>
                <c:pt idx="462">
                  <c:v>1.0287872876010833</c:v>
                </c:pt>
                <c:pt idx="463">
                  <c:v>1.0267278681296044</c:v>
                </c:pt>
                <c:pt idx="464">
                  <c:v>1.0330462683483908</c:v>
                </c:pt>
                <c:pt idx="465">
                  <c:v>1.0343130568276795</c:v>
                </c:pt>
                <c:pt idx="466">
                  <c:v>1.0251504297009801</c:v>
                </c:pt>
                <c:pt idx="467">
                  <c:v>1.0354323596559203</c:v>
                </c:pt>
                <c:pt idx="468">
                  <c:v>1.0376662414479068</c:v>
                </c:pt>
                <c:pt idx="469">
                  <c:v>1.0353283530738442</c:v>
                </c:pt>
                <c:pt idx="470">
                  <c:v>1.0362588785387543</c:v>
                </c:pt>
                <c:pt idx="471">
                  <c:v>1.0369023126924271</c:v>
                </c:pt>
                <c:pt idx="472">
                  <c:v>1.0338543508696802</c:v>
                </c:pt>
                <c:pt idx="473">
                  <c:v>1.0330858816791659</c:v>
                </c:pt>
                <c:pt idx="474">
                  <c:v>1.0223066509979111</c:v>
                </c:pt>
                <c:pt idx="475">
                  <c:v>1.0226115406659626</c:v>
                </c:pt>
                <c:pt idx="476">
                  <c:v>1.0255611970143734</c:v>
                </c:pt>
                <c:pt idx="477">
                  <c:v>1.0306507485478549</c:v>
                </c:pt>
                <c:pt idx="478">
                  <c:v>1.0171928941417248</c:v>
                </c:pt>
                <c:pt idx="479">
                  <c:v>1.0134191278267957</c:v>
                </c:pt>
                <c:pt idx="480">
                  <c:v>1.0178748245139779</c:v>
                </c:pt>
                <c:pt idx="481">
                  <c:v>1.0297121942816285</c:v>
                </c:pt>
                <c:pt idx="482">
                  <c:v>1.0267714223764353</c:v>
                </c:pt>
                <c:pt idx="483">
                  <c:v>1.0158484347139454</c:v>
                </c:pt>
                <c:pt idx="484">
                  <c:v>1.0259773000816743</c:v>
                </c:pt>
                <c:pt idx="485">
                  <c:v>1.0297176772403116</c:v>
                </c:pt>
                <c:pt idx="486">
                  <c:v>1.0269484873231978</c:v>
                </c:pt>
                <c:pt idx="487">
                  <c:v>1.0310897922356261</c:v>
                </c:pt>
                <c:pt idx="488">
                  <c:v>1.0288369963550239</c:v>
                </c:pt>
                <c:pt idx="489">
                  <c:v>1.0264792666068314</c:v>
                </c:pt>
                <c:pt idx="490">
                  <c:v>1.0213917489054167</c:v>
                </c:pt>
                <c:pt idx="491">
                  <c:v>1.0228724192539218</c:v>
                </c:pt>
                <c:pt idx="492">
                  <c:v>1.0136372738075883</c:v>
                </c:pt>
                <c:pt idx="493">
                  <c:v>1.0249484914380758</c:v>
                </c:pt>
                <c:pt idx="494">
                  <c:v>1.0257269860004814</c:v>
                </c:pt>
                <c:pt idx="495">
                  <c:v>1.0205786922375988</c:v>
                </c:pt>
                <c:pt idx="496">
                  <c:v>1.0189490080904586</c:v>
                </c:pt>
                <c:pt idx="497">
                  <c:v>1.0235302284171857</c:v>
                </c:pt>
                <c:pt idx="498">
                  <c:v>1.0183274242587679</c:v>
                </c:pt>
                <c:pt idx="499">
                  <c:v>1.0138699575216528</c:v>
                </c:pt>
                <c:pt idx="500">
                  <c:v>1.0111873396333593</c:v>
                </c:pt>
                <c:pt idx="501">
                  <c:v>1.0132492250329035</c:v>
                </c:pt>
                <c:pt idx="502">
                  <c:v>1.0066404856281741</c:v>
                </c:pt>
                <c:pt idx="503">
                  <c:v>1.0031108282525496</c:v>
                </c:pt>
                <c:pt idx="504">
                  <c:v>1.0070762229302161</c:v>
                </c:pt>
                <c:pt idx="505">
                  <c:v>1.0158719511302317</c:v>
                </c:pt>
                <c:pt idx="506">
                  <c:v>1.0036352916121292</c:v>
                </c:pt>
                <c:pt idx="507">
                  <c:v>1.001266787368762</c:v>
                </c:pt>
                <c:pt idx="508">
                  <c:v>1.0036442163491359</c:v>
                </c:pt>
                <c:pt idx="509">
                  <c:v>1.0182031453474623</c:v>
                </c:pt>
                <c:pt idx="510">
                  <c:v>1.0243426042007329</c:v>
                </c:pt>
                <c:pt idx="511">
                  <c:v>1.0260882519404033</c:v>
                </c:pt>
                <c:pt idx="512">
                  <c:v>1.0170755345797944</c:v>
                </c:pt>
                <c:pt idx="513">
                  <c:v>1.0219481232913923</c:v>
                </c:pt>
                <c:pt idx="514">
                  <c:v>1.0097896875932224</c:v>
                </c:pt>
                <c:pt idx="515">
                  <c:v>1.0131099034312765</c:v>
                </c:pt>
                <c:pt idx="516">
                  <c:v>0.99957625192645505</c:v>
                </c:pt>
                <c:pt idx="517">
                  <c:v>1.0056509391163675</c:v>
                </c:pt>
                <c:pt idx="518">
                  <c:v>0.9930494804644443</c:v>
                </c:pt>
                <c:pt idx="519">
                  <c:v>0.99496713857339847</c:v>
                </c:pt>
                <c:pt idx="520">
                  <c:v>1.0119285174127919</c:v>
                </c:pt>
                <c:pt idx="521">
                  <c:v>1.0079840584844106</c:v>
                </c:pt>
                <c:pt idx="522">
                  <c:v>1.0221579913938266</c:v>
                </c:pt>
                <c:pt idx="523">
                  <c:v>1.0209619160458447</c:v>
                </c:pt>
                <c:pt idx="524">
                  <c:v>1.025350419589858</c:v>
                </c:pt>
                <c:pt idx="525">
                  <c:v>1.0298890260818125</c:v>
                </c:pt>
                <c:pt idx="526">
                  <c:v>1.0237640557800782</c:v>
                </c:pt>
                <c:pt idx="527">
                  <c:v>1.0267203649417938</c:v>
                </c:pt>
                <c:pt idx="528">
                  <c:v>1.0281963378066004</c:v>
                </c:pt>
                <c:pt idx="529">
                  <c:v>1.0289621214585374</c:v>
                </c:pt>
                <c:pt idx="530">
                  <c:v>1.026203383083633</c:v>
                </c:pt>
                <c:pt idx="531">
                  <c:v>1.0265066574995929</c:v>
                </c:pt>
                <c:pt idx="532">
                  <c:v>1.0203801705749935</c:v>
                </c:pt>
                <c:pt idx="533">
                  <c:v>1.0214422371756187</c:v>
                </c:pt>
                <c:pt idx="534">
                  <c:v>1.0217564720137879</c:v>
                </c:pt>
                <c:pt idx="535">
                  <c:v>1.020158944128581</c:v>
                </c:pt>
                <c:pt idx="536">
                  <c:v>1.0160842103509058</c:v>
                </c:pt>
                <c:pt idx="537">
                  <c:v>1.0064396801773046</c:v>
                </c:pt>
                <c:pt idx="538">
                  <c:v>1.0064686854417602</c:v>
                </c:pt>
                <c:pt idx="539">
                  <c:v>0.99579317218653474</c:v>
                </c:pt>
                <c:pt idx="540">
                  <c:v>1.0000403759890713</c:v>
                </c:pt>
                <c:pt idx="541">
                  <c:v>1.003458524661569</c:v>
                </c:pt>
                <c:pt idx="542">
                  <c:v>0.9931671227090928</c:v>
                </c:pt>
                <c:pt idx="543">
                  <c:v>0.99732315945001848</c:v>
                </c:pt>
                <c:pt idx="544">
                  <c:v>0.98288369090955263</c:v>
                </c:pt>
                <c:pt idx="545">
                  <c:v>0.96992121991972313</c:v>
                </c:pt>
                <c:pt idx="546">
                  <c:v>0.9829131803402551</c:v>
                </c:pt>
                <c:pt idx="547">
                  <c:v>0.97337847781897802</c:v>
                </c:pt>
                <c:pt idx="548">
                  <c:v>0.98687408029243251</c:v>
                </c:pt>
                <c:pt idx="549">
                  <c:v>1.0002619242856463</c:v>
                </c:pt>
                <c:pt idx="550">
                  <c:v>0.99769347286203214</c:v>
                </c:pt>
                <c:pt idx="551">
                  <c:v>1.0031850755084708</c:v>
                </c:pt>
                <c:pt idx="552">
                  <c:v>0.98791530797505733</c:v>
                </c:pt>
                <c:pt idx="553">
                  <c:v>0.98318365733601265</c:v>
                </c:pt>
                <c:pt idx="554">
                  <c:v>0.98163370735037336</c:v>
                </c:pt>
                <c:pt idx="555">
                  <c:v>0.96820950765850267</c:v>
                </c:pt>
                <c:pt idx="556">
                  <c:v>0.977457395808776</c:v>
                </c:pt>
                <c:pt idx="557">
                  <c:v>0.98327045839311733</c:v>
                </c:pt>
                <c:pt idx="558">
                  <c:v>0.98584902327138724</c:v>
                </c:pt>
                <c:pt idx="559">
                  <c:v>0.99394268478517089</c:v>
                </c:pt>
                <c:pt idx="560">
                  <c:v>1.0023465758885877</c:v>
                </c:pt>
                <c:pt idx="561">
                  <c:v>0.98445822996825605</c:v>
                </c:pt>
                <c:pt idx="562">
                  <c:v>0.97282840688737648</c:v>
                </c:pt>
                <c:pt idx="563">
                  <c:v>0.98172189291614043</c:v>
                </c:pt>
                <c:pt idx="564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3+4'!$N$2</c:f>
              <c:strCache>
                <c:ptCount val="1"/>
                <c:pt idx="0">
                  <c:v>Eurostoxx 50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3+4'!$L$3:$L$567</c:f>
              <c:numCache>
                <c:formatCode>m/d/yyyy</c:formatCode>
                <c:ptCount val="565"/>
                <c:pt idx="0">
                  <c:v>42824</c:v>
                </c:pt>
                <c:pt idx="1">
                  <c:v>42823</c:v>
                </c:pt>
                <c:pt idx="2">
                  <c:v>42822</c:v>
                </c:pt>
                <c:pt idx="3">
                  <c:v>42821</c:v>
                </c:pt>
                <c:pt idx="4">
                  <c:v>42818</c:v>
                </c:pt>
                <c:pt idx="5">
                  <c:v>42817</c:v>
                </c:pt>
                <c:pt idx="6">
                  <c:v>42816</c:v>
                </c:pt>
                <c:pt idx="7">
                  <c:v>42815</c:v>
                </c:pt>
                <c:pt idx="8">
                  <c:v>42814</c:v>
                </c:pt>
                <c:pt idx="9">
                  <c:v>42811</c:v>
                </c:pt>
                <c:pt idx="10">
                  <c:v>42810</c:v>
                </c:pt>
                <c:pt idx="11">
                  <c:v>42809</c:v>
                </c:pt>
                <c:pt idx="12">
                  <c:v>42808</c:v>
                </c:pt>
                <c:pt idx="13">
                  <c:v>42807</c:v>
                </c:pt>
                <c:pt idx="14">
                  <c:v>42804</c:v>
                </c:pt>
                <c:pt idx="15">
                  <c:v>42803</c:v>
                </c:pt>
                <c:pt idx="16">
                  <c:v>42802</c:v>
                </c:pt>
                <c:pt idx="17">
                  <c:v>42801</c:v>
                </c:pt>
                <c:pt idx="18">
                  <c:v>42800</c:v>
                </c:pt>
                <c:pt idx="19">
                  <c:v>42797</c:v>
                </c:pt>
                <c:pt idx="20">
                  <c:v>42796</c:v>
                </c:pt>
                <c:pt idx="21">
                  <c:v>42795</c:v>
                </c:pt>
                <c:pt idx="22">
                  <c:v>42794</c:v>
                </c:pt>
                <c:pt idx="23">
                  <c:v>42793</c:v>
                </c:pt>
                <c:pt idx="24">
                  <c:v>42790</c:v>
                </c:pt>
                <c:pt idx="25">
                  <c:v>42789</c:v>
                </c:pt>
                <c:pt idx="26">
                  <c:v>42788</c:v>
                </c:pt>
                <c:pt idx="27">
                  <c:v>42787</c:v>
                </c:pt>
                <c:pt idx="28">
                  <c:v>42783</c:v>
                </c:pt>
                <c:pt idx="29">
                  <c:v>42782</c:v>
                </c:pt>
                <c:pt idx="30">
                  <c:v>42781</c:v>
                </c:pt>
                <c:pt idx="31">
                  <c:v>42780</c:v>
                </c:pt>
                <c:pt idx="32">
                  <c:v>42779</c:v>
                </c:pt>
                <c:pt idx="33">
                  <c:v>42776</c:v>
                </c:pt>
                <c:pt idx="34">
                  <c:v>42775</c:v>
                </c:pt>
                <c:pt idx="35">
                  <c:v>42774</c:v>
                </c:pt>
                <c:pt idx="36">
                  <c:v>42773</c:v>
                </c:pt>
                <c:pt idx="37">
                  <c:v>42772</c:v>
                </c:pt>
                <c:pt idx="38">
                  <c:v>42769</c:v>
                </c:pt>
                <c:pt idx="39">
                  <c:v>42768</c:v>
                </c:pt>
                <c:pt idx="40">
                  <c:v>42767</c:v>
                </c:pt>
                <c:pt idx="41">
                  <c:v>42766</c:v>
                </c:pt>
                <c:pt idx="42">
                  <c:v>42765</c:v>
                </c:pt>
                <c:pt idx="43">
                  <c:v>42762</c:v>
                </c:pt>
                <c:pt idx="44">
                  <c:v>42761</c:v>
                </c:pt>
                <c:pt idx="45">
                  <c:v>42760</c:v>
                </c:pt>
                <c:pt idx="46">
                  <c:v>42759</c:v>
                </c:pt>
                <c:pt idx="47">
                  <c:v>42758</c:v>
                </c:pt>
                <c:pt idx="48">
                  <c:v>42755</c:v>
                </c:pt>
                <c:pt idx="49">
                  <c:v>42754</c:v>
                </c:pt>
                <c:pt idx="50">
                  <c:v>42753</c:v>
                </c:pt>
                <c:pt idx="51">
                  <c:v>42752</c:v>
                </c:pt>
                <c:pt idx="52">
                  <c:v>42748</c:v>
                </c:pt>
                <c:pt idx="53">
                  <c:v>42747</c:v>
                </c:pt>
                <c:pt idx="54">
                  <c:v>42746</c:v>
                </c:pt>
                <c:pt idx="55">
                  <c:v>42745</c:v>
                </c:pt>
                <c:pt idx="56">
                  <c:v>42744</c:v>
                </c:pt>
                <c:pt idx="57">
                  <c:v>42741</c:v>
                </c:pt>
                <c:pt idx="58">
                  <c:v>42740</c:v>
                </c:pt>
                <c:pt idx="59">
                  <c:v>42739</c:v>
                </c:pt>
                <c:pt idx="60">
                  <c:v>42738</c:v>
                </c:pt>
                <c:pt idx="61">
                  <c:v>42734</c:v>
                </c:pt>
                <c:pt idx="62">
                  <c:v>42733</c:v>
                </c:pt>
                <c:pt idx="63">
                  <c:v>42732</c:v>
                </c:pt>
                <c:pt idx="64">
                  <c:v>42731</c:v>
                </c:pt>
                <c:pt idx="65">
                  <c:v>42727</c:v>
                </c:pt>
                <c:pt idx="66">
                  <c:v>42726</c:v>
                </c:pt>
                <c:pt idx="67">
                  <c:v>42725</c:v>
                </c:pt>
                <c:pt idx="68">
                  <c:v>42724</c:v>
                </c:pt>
                <c:pt idx="69">
                  <c:v>42723</c:v>
                </c:pt>
                <c:pt idx="70">
                  <c:v>42720</c:v>
                </c:pt>
                <c:pt idx="71">
                  <c:v>42719</c:v>
                </c:pt>
                <c:pt idx="72">
                  <c:v>42718</c:v>
                </c:pt>
                <c:pt idx="73">
                  <c:v>42717</c:v>
                </c:pt>
                <c:pt idx="74">
                  <c:v>42716</c:v>
                </c:pt>
                <c:pt idx="75">
                  <c:v>42713</c:v>
                </c:pt>
                <c:pt idx="76">
                  <c:v>42712</c:v>
                </c:pt>
                <c:pt idx="77">
                  <c:v>42711</c:v>
                </c:pt>
                <c:pt idx="78">
                  <c:v>42710</c:v>
                </c:pt>
                <c:pt idx="79">
                  <c:v>42709</c:v>
                </c:pt>
                <c:pt idx="80">
                  <c:v>42706</c:v>
                </c:pt>
                <c:pt idx="81">
                  <c:v>42705</c:v>
                </c:pt>
                <c:pt idx="82">
                  <c:v>42704</c:v>
                </c:pt>
                <c:pt idx="83">
                  <c:v>42703</c:v>
                </c:pt>
                <c:pt idx="84">
                  <c:v>42702</c:v>
                </c:pt>
                <c:pt idx="85">
                  <c:v>42699</c:v>
                </c:pt>
                <c:pt idx="86">
                  <c:v>42697</c:v>
                </c:pt>
                <c:pt idx="87">
                  <c:v>42696</c:v>
                </c:pt>
                <c:pt idx="88">
                  <c:v>42695</c:v>
                </c:pt>
                <c:pt idx="89">
                  <c:v>42692</c:v>
                </c:pt>
                <c:pt idx="90">
                  <c:v>42691</c:v>
                </c:pt>
                <c:pt idx="91">
                  <c:v>42690</c:v>
                </c:pt>
                <c:pt idx="92">
                  <c:v>42689</c:v>
                </c:pt>
                <c:pt idx="93">
                  <c:v>42688</c:v>
                </c:pt>
                <c:pt idx="94">
                  <c:v>42685</c:v>
                </c:pt>
                <c:pt idx="95">
                  <c:v>42684</c:v>
                </c:pt>
                <c:pt idx="96">
                  <c:v>42683</c:v>
                </c:pt>
                <c:pt idx="97">
                  <c:v>42682</c:v>
                </c:pt>
                <c:pt idx="98">
                  <c:v>42681</c:v>
                </c:pt>
                <c:pt idx="99">
                  <c:v>42678</c:v>
                </c:pt>
                <c:pt idx="100">
                  <c:v>42677</c:v>
                </c:pt>
                <c:pt idx="101">
                  <c:v>42676</c:v>
                </c:pt>
                <c:pt idx="102">
                  <c:v>42675</c:v>
                </c:pt>
                <c:pt idx="103">
                  <c:v>42674</c:v>
                </c:pt>
                <c:pt idx="104">
                  <c:v>42671</c:v>
                </c:pt>
                <c:pt idx="105">
                  <c:v>42670</c:v>
                </c:pt>
                <c:pt idx="106">
                  <c:v>42669</c:v>
                </c:pt>
                <c:pt idx="107">
                  <c:v>42668</c:v>
                </c:pt>
                <c:pt idx="108">
                  <c:v>42667</c:v>
                </c:pt>
                <c:pt idx="109">
                  <c:v>42664</c:v>
                </c:pt>
                <c:pt idx="110">
                  <c:v>42663</c:v>
                </c:pt>
                <c:pt idx="111">
                  <c:v>42662</c:v>
                </c:pt>
                <c:pt idx="112">
                  <c:v>42661</c:v>
                </c:pt>
                <c:pt idx="113">
                  <c:v>42660</c:v>
                </c:pt>
                <c:pt idx="114">
                  <c:v>42657</c:v>
                </c:pt>
                <c:pt idx="115">
                  <c:v>42656</c:v>
                </c:pt>
                <c:pt idx="116">
                  <c:v>42655</c:v>
                </c:pt>
                <c:pt idx="117">
                  <c:v>42654</c:v>
                </c:pt>
                <c:pt idx="118">
                  <c:v>42653</c:v>
                </c:pt>
                <c:pt idx="119">
                  <c:v>42650</c:v>
                </c:pt>
                <c:pt idx="120">
                  <c:v>42649</c:v>
                </c:pt>
                <c:pt idx="121">
                  <c:v>42648</c:v>
                </c:pt>
                <c:pt idx="122">
                  <c:v>42647</c:v>
                </c:pt>
                <c:pt idx="123">
                  <c:v>42646</c:v>
                </c:pt>
                <c:pt idx="124">
                  <c:v>42643</c:v>
                </c:pt>
                <c:pt idx="125">
                  <c:v>42642</c:v>
                </c:pt>
                <c:pt idx="126">
                  <c:v>42641</c:v>
                </c:pt>
                <c:pt idx="127">
                  <c:v>42640</c:v>
                </c:pt>
                <c:pt idx="128">
                  <c:v>42639</c:v>
                </c:pt>
                <c:pt idx="129">
                  <c:v>42636</c:v>
                </c:pt>
                <c:pt idx="130">
                  <c:v>42635</c:v>
                </c:pt>
                <c:pt idx="131">
                  <c:v>42634</c:v>
                </c:pt>
                <c:pt idx="132">
                  <c:v>42633</c:v>
                </c:pt>
                <c:pt idx="133">
                  <c:v>42632</c:v>
                </c:pt>
                <c:pt idx="134">
                  <c:v>42629</c:v>
                </c:pt>
                <c:pt idx="135">
                  <c:v>42628</c:v>
                </c:pt>
                <c:pt idx="136">
                  <c:v>42627</c:v>
                </c:pt>
                <c:pt idx="137">
                  <c:v>42626</c:v>
                </c:pt>
                <c:pt idx="138">
                  <c:v>42625</c:v>
                </c:pt>
                <c:pt idx="139">
                  <c:v>42622</c:v>
                </c:pt>
                <c:pt idx="140">
                  <c:v>42621</c:v>
                </c:pt>
                <c:pt idx="141">
                  <c:v>42620</c:v>
                </c:pt>
                <c:pt idx="142">
                  <c:v>42619</c:v>
                </c:pt>
                <c:pt idx="143">
                  <c:v>42615</c:v>
                </c:pt>
                <c:pt idx="144">
                  <c:v>42614</c:v>
                </c:pt>
                <c:pt idx="145">
                  <c:v>42613</c:v>
                </c:pt>
                <c:pt idx="146">
                  <c:v>42612</c:v>
                </c:pt>
                <c:pt idx="147">
                  <c:v>42611</c:v>
                </c:pt>
                <c:pt idx="148">
                  <c:v>42608</c:v>
                </c:pt>
                <c:pt idx="149">
                  <c:v>42607</c:v>
                </c:pt>
                <c:pt idx="150">
                  <c:v>42606</c:v>
                </c:pt>
                <c:pt idx="151">
                  <c:v>42605</c:v>
                </c:pt>
                <c:pt idx="152">
                  <c:v>42604</c:v>
                </c:pt>
                <c:pt idx="153">
                  <c:v>42601</c:v>
                </c:pt>
                <c:pt idx="154">
                  <c:v>42600</c:v>
                </c:pt>
                <c:pt idx="155">
                  <c:v>42599</c:v>
                </c:pt>
                <c:pt idx="156">
                  <c:v>42598</c:v>
                </c:pt>
                <c:pt idx="157">
                  <c:v>42597</c:v>
                </c:pt>
                <c:pt idx="158">
                  <c:v>42594</c:v>
                </c:pt>
                <c:pt idx="159">
                  <c:v>42593</c:v>
                </c:pt>
                <c:pt idx="160">
                  <c:v>42592</c:v>
                </c:pt>
                <c:pt idx="161">
                  <c:v>42591</c:v>
                </c:pt>
                <c:pt idx="162">
                  <c:v>42590</c:v>
                </c:pt>
                <c:pt idx="163">
                  <c:v>42587</c:v>
                </c:pt>
                <c:pt idx="164">
                  <c:v>42586</c:v>
                </c:pt>
                <c:pt idx="165">
                  <c:v>42585</c:v>
                </c:pt>
                <c:pt idx="166">
                  <c:v>42584</c:v>
                </c:pt>
                <c:pt idx="167">
                  <c:v>42583</c:v>
                </c:pt>
                <c:pt idx="168">
                  <c:v>42580</c:v>
                </c:pt>
                <c:pt idx="169">
                  <c:v>42579</c:v>
                </c:pt>
                <c:pt idx="170">
                  <c:v>42578</c:v>
                </c:pt>
                <c:pt idx="171">
                  <c:v>42577</c:v>
                </c:pt>
                <c:pt idx="172">
                  <c:v>42576</c:v>
                </c:pt>
                <c:pt idx="173">
                  <c:v>42573</c:v>
                </c:pt>
                <c:pt idx="174">
                  <c:v>42572</c:v>
                </c:pt>
                <c:pt idx="175">
                  <c:v>42571</c:v>
                </c:pt>
                <c:pt idx="176">
                  <c:v>42570</c:v>
                </c:pt>
                <c:pt idx="177">
                  <c:v>42569</c:v>
                </c:pt>
                <c:pt idx="178">
                  <c:v>42566</c:v>
                </c:pt>
                <c:pt idx="179">
                  <c:v>42565</c:v>
                </c:pt>
                <c:pt idx="180">
                  <c:v>42564</c:v>
                </c:pt>
                <c:pt idx="181">
                  <c:v>42563</c:v>
                </c:pt>
                <c:pt idx="182">
                  <c:v>42562</c:v>
                </c:pt>
                <c:pt idx="183">
                  <c:v>42559</c:v>
                </c:pt>
                <c:pt idx="184">
                  <c:v>42558</c:v>
                </c:pt>
                <c:pt idx="185">
                  <c:v>42557</c:v>
                </c:pt>
                <c:pt idx="186">
                  <c:v>42556</c:v>
                </c:pt>
                <c:pt idx="187">
                  <c:v>42552</c:v>
                </c:pt>
                <c:pt idx="188">
                  <c:v>42551</c:v>
                </c:pt>
                <c:pt idx="189">
                  <c:v>42550</c:v>
                </c:pt>
                <c:pt idx="190">
                  <c:v>42549</c:v>
                </c:pt>
                <c:pt idx="191">
                  <c:v>42548</c:v>
                </c:pt>
                <c:pt idx="192">
                  <c:v>42545</c:v>
                </c:pt>
                <c:pt idx="193">
                  <c:v>42544</c:v>
                </c:pt>
                <c:pt idx="194">
                  <c:v>42543</c:v>
                </c:pt>
                <c:pt idx="195">
                  <c:v>42542</c:v>
                </c:pt>
                <c:pt idx="196">
                  <c:v>42541</c:v>
                </c:pt>
                <c:pt idx="197">
                  <c:v>42538</c:v>
                </c:pt>
                <c:pt idx="198">
                  <c:v>42537</c:v>
                </c:pt>
                <c:pt idx="199">
                  <c:v>42536</c:v>
                </c:pt>
                <c:pt idx="200">
                  <c:v>42535</c:v>
                </c:pt>
                <c:pt idx="201">
                  <c:v>42534</c:v>
                </c:pt>
                <c:pt idx="202">
                  <c:v>42531</c:v>
                </c:pt>
                <c:pt idx="203">
                  <c:v>42530</c:v>
                </c:pt>
                <c:pt idx="204">
                  <c:v>42529</c:v>
                </c:pt>
                <c:pt idx="205">
                  <c:v>42528</c:v>
                </c:pt>
                <c:pt idx="206">
                  <c:v>42527</c:v>
                </c:pt>
                <c:pt idx="207">
                  <c:v>42524</c:v>
                </c:pt>
                <c:pt idx="208">
                  <c:v>42523</c:v>
                </c:pt>
                <c:pt idx="209">
                  <c:v>42522</c:v>
                </c:pt>
                <c:pt idx="210">
                  <c:v>42521</c:v>
                </c:pt>
                <c:pt idx="211">
                  <c:v>42517</c:v>
                </c:pt>
                <c:pt idx="212">
                  <c:v>42516</c:v>
                </c:pt>
                <c:pt idx="213">
                  <c:v>42515</c:v>
                </c:pt>
                <c:pt idx="214">
                  <c:v>42514</c:v>
                </c:pt>
                <c:pt idx="215">
                  <c:v>42513</c:v>
                </c:pt>
                <c:pt idx="216">
                  <c:v>42510</c:v>
                </c:pt>
                <c:pt idx="217">
                  <c:v>42509</c:v>
                </c:pt>
                <c:pt idx="218">
                  <c:v>42508</c:v>
                </c:pt>
                <c:pt idx="219">
                  <c:v>42507</c:v>
                </c:pt>
                <c:pt idx="220">
                  <c:v>42506</c:v>
                </c:pt>
                <c:pt idx="221">
                  <c:v>42503</c:v>
                </c:pt>
                <c:pt idx="222">
                  <c:v>42502</c:v>
                </c:pt>
                <c:pt idx="223">
                  <c:v>42501</c:v>
                </c:pt>
                <c:pt idx="224">
                  <c:v>42500</c:v>
                </c:pt>
                <c:pt idx="225">
                  <c:v>42499</c:v>
                </c:pt>
                <c:pt idx="226">
                  <c:v>42496</c:v>
                </c:pt>
                <c:pt idx="227">
                  <c:v>42495</c:v>
                </c:pt>
                <c:pt idx="228">
                  <c:v>42494</c:v>
                </c:pt>
                <c:pt idx="229">
                  <c:v>42493</c:v>
                </c:pt>
                <c:pt idx="230">
                  <c:v>42492</c:v>
                </c:pt>
                <c:pt idx="231">
                  <c:v>42489</c:v>
                </c:pt>
                <c:pt idx="232">
                  <c:v>42488</c:v>
                </c:pt>
                <c:pt idx="233">
                  <c:v>42487</c:v>
                </c:pt>
                <c:pt idx="234">
                  <c:v>42486</c:v>
                </c:pt>
                <c:pt idx="235">
                  <c:v>42485</c:v>
                </c:pt>
                <c:pt idx="236">
                  <c:v>42482</c:v>
                </c:pt>
                <c:pt idx="237">
                  <c:v>42481</c:v>
                </c:pt>
                <c:pt idx="238">
                  <c:v>42480</c:v>
                </c:pt>
                <c:pt idx="239">
                  <c:v>42479</c:v>
                </c:pt>
                <c:pt idx="240">
                  <c:v>42478</c:v>
                </c:pt>
                <c:pt idx="241">
                  <c:v>42475</c:v>
                </c:pt>
                <c:pt idx="242">
                  <c:v>42474</c:v>
                </c:pt>
                <c:pt idx="243">
                  <c:v>42473</c:v>
                </c:pt>
                <c:pt idx="244">
                  <c:v>42472</c:v>
                </c:pt>
                <c:pt idx="245">
                  <c:v>42471</c:v>
                </c:pt>
                <c:pt idx="246">
                  <c:v>42468</c:v>
                </c:pt>
                <c:pt idx="247">
                  <c:v>42467</c:v>
                </c:pt>
                <c:pt idx="248">
                  <c:v>42466</c:v>
                </c:pt>
                <c:pt idx="249">
                  <c:v>42465</c:v>
                </c:pt>
                <c:pt idx="250">
                  <c:v>42464</c:v>
                </c:pt>
                <c:pt idx="251">
                  <c:v>42461</c:v>
                </c:pt>
                <c:pt idx="252">
                  <c:v>42460</c:v>
                </c:pt>
                <c:pt idx="253">
                  <c:v>42459</c:v>
                </c:pt>
                <c:pt idx="254">
                  <c:v>42458</c:v>
                </c:pt>
                <c:pt idx="255">
                  <c:v>42457</c:v>
                </c:pt>
                <c:pt idx="256">
                  <c:v>42453</c:v>
                </c:pt>
                <c:pt idx="257">
                  <c:v>42452</c:v>
                </c:pt>
                <c:pt idx="258">
                  <c:v>42451</c:v>
                </c:pt>
                <c:pt idx="259">
                  <c:v>42450</c:v>
                </c:pt>
                <c:pt idx="260">
                  <c:v>42447</c:v>
                </c:pt>
                <c:pt idx="261">
                  <c:v>42446</c:v>
                </c:pt>
                <c:pt idx="262">
                  <c:v>42445</c:v>
                </c:pt>
                <c:pt idx="263">
                  <c:v>42444</c:v>
                </c:pt>
                <c:pt idx="264">
                  <c:v>42443</c:v>
                </c:pt>
                <c:pt idx="265">
                  <c:v>42440</c:v>
                </c:pt>
                <c:pt idx="266">
                  <c:v>42439</c:v>
                </c:pt>
                <c:pt idx="267">
                  <c:v>42438</c:v>
                </c:pt>
                <c:pt idx="268">
                  <c:v>42437</c:v>
                </c:pt>
                <c:pt idx="269">
                  <c:v>42436</c:v>
                </c:pt>
                <c:pt idx="270">
                  <c:v>42433</c:v>
                </c:pt>
                <c:pt idx="271">
                  <c:v>42432</c:v>
                </c:pt>
                <c:pt idx="272">
                  <c:v>42431</c:v>
                </c:pt>
                <c:pt idx="273">
                  <c:v>42430</c:v>
                </c:pt>
                <c:pt idx="274">
                  <c:v>42429</c:v>
                </c:pt>
                <c:pt idx="275">
                  <c:v>42426</c:v>
                </c:pt>
                <c:pt idx="276">
                  <c:v>42425</c:v>
                </c:pt>
                <c:pt idx="277">
                  <c:v>42424</c:v>
                </c:pt>
                <c:pt idx="278">
                  <c:v>42423</c:v>
                </c:pt>
                <c:pt idx="279">
                  <c:v>42422</c:v>
                </c:pt>
                <c:pt idx="280">
                  <c:v>42419</c:v>
                </c:pt>
                <c:pt idx="281">
                  <c:v>42418</c:v>
                </c:pt>
                <c:pt idx="282">
                  <c:v>42417</c:v>
                </c:pt>
                <c:pt idx="283">
                  <c:v>42416</c:v>
                </c:pt>
                <c:pt idx="284">
                  <c:v>42412</c:v>
                </c:pt>
                <c:pt idx="285">
                  <c:v>42411</c:v>
                </c:pt>
                <c:pt idx="286">
                  <c:v>42410</c:v>
                </c:pt>
                <c:pt idx="287">
                  <c:v>42409</c:v>
                </c:pt>
                <c:pt idx="288">
                  <c:v>42408</c:v>
                </c:pt>
                <c:pt idx="289">
                  <c:v>42405</c:v>
                </c:pt>
                <c:pt idx="290">
                  <c:v>42404</c:v>
                </c:pt>
                <c:pt idx="291">
                  <c:v>42403</c:v>
                </c:pt>
                <c:pt idx="292">
                  <c:v>42402</c:v>
                </c:pt>
                <c:pt idx="293">
                  <c:v>42401</c:v>
                </c:pt>
                <c:pt idx="294">
                  <c:v>42398</c:v>
                </c:pt>
                <c:pt idx="295">
                  <c:v>42397</c:v>
                </c:pt>
                <c:pt idx="296">
                  <c:v>42396</c:v>
                </c:pt>
                <c:pt idx="297">
                  <c:v>42395</c:v>
                </c:pt>
                <c:pt idx="298">
                  <c:v>42394</c:v>
                </c:pt>
                <c:pt idx="299">
                  <c:v>42391</c:v>
                </c:pt>
                <c:pt idx="300">
                  <c:v>42390</c:v>
                </c:pt>
                <c:pt idx="301">
                  <c:v>42389</c:v>
                </c:pt>
                <c:pt idx="302">
                  <c:v>42388</c:v>
                </c:pt>
                <c:pt idx="303">
                  <c:v>42384</c:v>
                </c:pt>
                <c:pt idx="304">
                  <c:v>42383</c:v>
                </c:pt>
                <c:pt idx="305">
                  <c:v>42382</c:v>
                </c:pt>
                <c:pt idx="306">
                  <c:v>42381</c:v>
                </c:pt>
                <c:pt idx="307">
                  <c:v>42380</c:v>
                </c:pt>
                <c:pt idx="308">
                  <c:v>42377</c:v>
                </c:pt>
                <c:pt idx="309">
                  <c:v>42376</c:v>
                </c:pt>
                <c:pt idx="310">
                  <c:v>42375</c:v>
                </c:pt>
                <c:pt idx="311">
                  <c:v>42374</c:v>
                </c:pt>
                <c:pt idx="312">
                  <c:v>42373</c:v>
                </c:pt>
                <c:pt idx="313">
                  <c:v>42369</c:v>
                </c:pt>
                <c:pt idx="314">
                  <c:v>42368</c:v>
                </c:pt>
                <c:pt idx="315">
                  <c:v>42367</c:v>
                </c:pt>
                <c:pt idx="316">
                  <c:v>42366</c:v>
                </c:pt>
                <c:pt idx="317">
                  <c:v>42362</c:v>
                </c:pt>
                <c:pt idx="318">
                  <c:v>42361</c:v>
                </c:pt>
                <c:pt idx="319">
                  <c:v>42360</c:v>
                </c:pt>
                <c:pt idx="320">
                  <c:v>42359</c:v>
                </c:pt>
                <c:pt idx="321">
                  <c:v>42356</c:v>
                </c:pt>
                <c:pt idx="322">
                  <c:v>42355</c:v>
                </c:pt>
                <c:pt idx="323">
                  <c:v>42354</c:v>
                </c:pt>
                <c:pt idx="324">
                  <c:v>42353</c:v>
                </c:pt>
                <c:pt idx="325">
                  <c:v>42352</c:v>
                </c:pt>
                <c:pt idx="326">
                  <c:v>42349</c:v>
                </c:pt>
                <c:pt idx="327">
                  <c:v>42348</c:v>
                </c:pt>
                <c:pt idx="328">
                  <c:v>42347</c:v>
                </c:pt>
                <c:pt idx="329">
                  <c:v>42346</c:v>
                </c:pt>
                <c:pt idx="330">
                  <c:v>42345</c:v>
                </c:pt>
                <c:pt idx="331">
                  <c:v>42342</c:v>
                </c:pt>
                <c:pt idx="332">
                  <c:v>42341</c:v>
                </c:pt>
                <c:pt idx="333">
                  <c:v>42340</c:v>
                </c:pt>
                <c:pt idx="334">
                  <c:v>42339</c:v>
                </c:pt>
                <c:pt idx="335">
                  <c:v>42338</c:v>
                </c:pt>
                <c:pt idx="336">
                  <c:v>42335</c:v>
                </c:pt>
                <c:pt idx="337">
                  <c:v>42333</c:v>
                </c:pt>
                <c:pt idx="338">
                  <c:v>42332</c:v>
                </c:pt>
                <c:pt idx="339">
                  <c:v>42331</c:v>
                </c:pt>
                <c:pt idx="340">
                  <c:v>42328</c:v>
                </c:pt>
                <c:pt idx="341">
                  <c:v>42327</c:v>
                </c:pt>
                <c:pt idx="342">
                  <c:v>42326</c:v>
                </c:pt>
                <c:pt idx="343">
                  <c:v>42325</c:v>
                </c:pt>
                <c:pt idx="344">
                  <c:v>42324</c:v>
                </c:pt>
                <c:pt idx="345">
                  <c:v>42321</c:v>
                </c:pt>
                <c:pt idx="346">
                  <c:v>42320</c:v>
                </c:pt>
                <c:pt idx="347">
                  <c:v>42319</c:v>
                </c:pt>
                <c:pt idx="348">
                  <c:v>42318</c:v>
                </c:pt>
                <c:pt idx="349">
                  <c:v>42317</c:v>
                </c:pt>
                <c:pt idx="350">
                  <c:v>42314</c:v>
                </c:pt>
                <c:pt idx="351">
                  <c:v>42313</c:v>
                </c:pt>
                <c:pt idx="352">
                  <c:v>42312</c:v>
                </c:pt>
                <c:pt idx="353">
                  <c:v>42311</c:v>
                </c:pt>
                <c:pt idx="354">
                  <c:v>42310</c:v>
                </c:pt>
                <c:pt idx="355">
                  <c:v>42307</c:v>
                </c:pt>
                <c:pt idx="356">
                  <c:v>42306</c:v>
                </c:pt>
                <c:pt idx="357">
                  <c:v>42305</c:v>
                </c:pt>
                <c:pt idx="358">
                  <c:v>42304</c:v>
                </c:pt>
                <c:pt idx="359">
                  <c:v>42303</c:v>
                </c:pt>
                <c:pt idx="360">
                  <c:v>42300</c:v>
                </c:pt>
                <c:pt idx="361">
                  <c:v>42299</c:v>
                </c:pt>
                <c:pt idx="362">
                  <c:v>42298</c:v>
                </c:pt>
                <c:pt idx="363">
                  <c:v>42297</c:v>
                </c:pt>
                <c:pt idx="364">
                  <c:v>42296</c:v>
                </c:pt>
                <c:pt idx="365">
                  <c:v>42293</c:v>
                </c:pt>
                <c:pt idx="366">
                  <c:v>42292</c:v>
                </c:pt>
                <c:pt idx="367">
                  <c:v>42291</c:v>
                </c:pt>
                <c:pt idx="368">
                  <c:v>42290</c:v>
                </c:pt>
                <c:pt idx="369">
                  <c:v>42289</c:v>
                </c:pt>
                <c:pt idx="370">
                  <c:v>42286</c:v>
                </c:pt>
                <c:pt idx="371">
                  <c:v>42285</c:v>
                </c:pt>
                <c:pt idx="372">
                  <c:v>42284</c:v>
                </c:pt>
                <c:pt idx="373">
                  <c:v>42283</c:v>
                </c:pt>
                <c:pt idx="374">
                  <c:v>42282</c:v>
                </c:pt>
                <c:pt idx="375">
                  <c:v>42279</c:v>
                </c:pt>
                <c:pt idx="376">
                  <c:v>42278</c:v>
                </c:pt>
                <c:pt idx="377">
                  <c:v>42277</c:v>
                </c:pt>
                <c:pt idx="378">
                  <c:v>42276</c:v>
                </c:pt>
                <c:pt idx="379">
                  <c:v>42275</c:v>
                </c:pt>
                <c:pt idx="380">
                  <c:v>42272</c:v>
                </c:pt>
                <c:pt idx="381">
                  <c:v>42271</c:v>
                </c:pt>
                <c:pt idx="382">
                  <c:v>42270</c:v>
                </c:pt>
                <c:pt idx="383">
                  <c:v>42269</c:v>
                </c:pt>
                <c:pt idx="384">
                  <c:v>42268</c:v>
                </c:pt>
                <c:pt idx="385">
                  <c:v>42265</c:v>
                </c:pt>
                <c:pt idx="386">
                  <c:v>42264</c:v>
                </c:pt>
                <c:pt idx="387">
                  <c:v>42263</c:v>
                </c:pt>
                <c:pt idx="388">
                  <c:v>42262</c:v>
                </c:pt>
                <c:pt idx="389">
                  <c:v>42261</c:v>
                </c:pt>
                <c:pt idx="390">
                  <c:v>42258</c:v>
                </c:pt>
                <c:pt idx="391">
                  <c:v>42257</c:v>
                </c:pt>
                <c:pt idx="392">
                  <c:v>42256</c:v>
                </c:pt>
                <c:pt idx="393">
                  <c:v>42255</c:v>
                </c:pt>
                <c:pt idx="394">
                  <c:v>42251</c:v>
                </c:pt>
                <c:pt idx="395">
                  <c:v>42250</c:v>
                </c:pt>
                <c:pt idx="396">
                  <c:v>42249</c:v>
                </c:pt>
                <c:pt idx="397">
                  <c:v>42248</c:v>
                </c:pt>
                <c:pt idx="398">
                  <c:v>42247</c:v>
                </c:pt>
                <c:pt idx="399">
                  <c:v>42244</c:v>
                </c:pt>
                <c:pt idx="400">
                  <c:v>42243</c:v>
                </c:pt>
                <c:pt idx="401">
                  <c:v>42242</c:v>
                </c:pt>
                <c:pt idx="402">
                  <c:v>42241</c:v>
                </c:pt>
                <c:pt idx="403">
                  <c:v>42240</c:v>
                </c:pt>
                <c:pt idx="404">
                  <c:v>42237</c:v>
                </c:pt>
                <c:pt idx="405">
                  <c:v>42236</c:v>
                </c:pt>
                <c:pt idx="406">
                  <c:v>42235</c:v>
                </c:pt>
                <c:pt idx="407">
                  <c:v>42234</c:v>
                </c:pt>
                <c:pt idx="408">
                  <c:v>42233</c:v>
                </c:pt>
                <c:pt idx="409">
                  <c:v>42230</c:v>
                </c:pt>
                <c:pt idx="410">
                  <c:v>42229</c:v>
                </c:pt>
                <c:pt idx="411">
                  <c:v>42228</c:v>
                </c:pt>
                <c:pt idx="412">
                  <c:v>42227</c:v>
                </c:pt>
                <c:pt idx="413">
                  <c:v>42226</c:v>
                </c:pt>
                <c:pt idx="414">
                  <c:v>42223</c:v>
                </c:pt>
                <c:pt idx="415">
                  <c:v>42222</c:v>
                </c:pt>
                <c:pt idx="416">
                  <c:v>42221</c:v>
                </c:pt>
                <c:pt idx="417">
                  <c:v>42220</c:v>
                </c:pt>
                <c:pt idx="418">
                  <c:v>42219</c:v>
                </c:pt>
                <c:pt idx="419">
                  <c:v>42216</c:v>
                </c:pt>
                <c:pt idx="420">
                  <c:v>42215</c:v>
                </c:pt>
                <c:pt idx="421">
                  <c:v>42214</c:v>
                </c:pt>
                <c:pt idx="422">
                  <c:v>42213</c:v>
                </c:pt>
                <c:pt idx="423">
                  <c:v>42212</c:v>
                </c:pt>
                <c:pt idx="424">
                  <c:v>42209</c:v>
                </c:pt>
                <c:pt idx="425">
                  <c:v>42208</c:v>
                </c:pt>
                <c:pt idx="426">
                  <c:v>42207</c:v>
                </c:pt>
                <c:pt idx="427">
                  <c:v>42206</c:v>
                </c:pt>
                <c:pt idx="428">
                  <c:v>42205</c:v>
                </c:pt>
                <c:pt idx="429">
                  <c:v>42202</c:v>
                </c:pt>
                <c:pt idx="430">
                  <c:v>42201</c:v>
                </c:pt>
                <c:pt idx="431">
                  <c:v>42200</c:v>
                </c:pt>
                <c:pt idx="432">
                  <c:v>42199</c:v>
                </c:pt>
                <c:pt idx="433">
                  <c:v>42198</c:v>
                </c:pt>
                <c:pt idx="434">
                  <c:v>42195</c:v>
                </c:pt>
                <c:pt idx="435">
                  <c:v>42194</c:v>
                </c:pt>
                <c:pt idx="436">
                  <c:v>42193</c:v>
                </c:pt>
                <c:pt idx="437">
                  <c:v>42192</c:v>
                </c:pt>
                <c:pt idx="438">
                  <c:v>42191</c:v>
                </c:pt>
                <c:pt idx="439">
                  <c:v>42187</c:v>
                </c:pt>
                <c:pt idx="440">
                  <c:v>42186</c:v>
                </c:pt>
                <c:pt idx="441">
                  <c:v>42185</c:v>
                </c:pt>
                <c:pt idx="442">
                  <c:v>42184</c:v>
                </c:pt>
                <c:pt idx="443">
                  <c:v>42181</c:v>
                </c:pt>
                <c:pt idx="444">
                  <c:v>42180</c:v>
                </c:pt>
                <c:pt idx="445">
                  <c:v>42179</c:v>
                </c:pt>
                <c:pt idx="446">
                  <c:v>42178</c:v>
                </c:pt>
                <c:pt idx="447">
                  <c:v>42177</c:v>
                </c:pt>
                <c:pt idx="448">
                  <c:v>42174</c:v>
                </c:pt>
                <c:pt idx="449">
                  <c:v>42173</c:v>
                </c:pt>
                <c:pt idx="450">
                  <c:v>42172</c:v>
                </c:pt>
                <c:pt idx="451">
                  <c:v>42171</c:v>
                </c:pt>
                <c:pt idx="452">
                  <c:v>42170</c:v>
                </c:pt>
                <c:pt idx="453">
                  <c:v>42167</c:v>
                </c:pt>
                <c:pt idx="454">
                  <c:v>42166</c:v>
                </c:pt>
                <c:pt idx="455">
                  <c:v>42165</c:v>
                </c:pt>
                <c:pt idx="456">
                  <c:v>42164</c:v>
                </c:pt>
                <c:pt idx="457">
                  <c:v>42163</c:v>
                </c:pt>
                <c:pt idx="458">
                  <c:v>42160</c:v>
                </c:pt>
                <c:pt idx="459">
                  <c:v>42159</c:v>
                </c:pt>
                <c:pt idx="460">
                  <c:v>42158</c:v>
                </c:pt>
                <c:pt idx="461">
                  <c:v>42157</c:v>
                </c:pt>
                <c:pt idx="462">
                  <c:v>42156</c:v>
                </c:pt>
                <c:pt idx="463">
                  <c:v>42153</c:v>
                </c:pt>
                <c:pt idx="464">
                  <c:v>42152</c:v>
                </c:pt>
                <c:pt idx="465">
                  <c:v>42151</c:v>
                </c:pt>
                <c:pt idx="466">
                  <c:v>42150</c:v>
                </c:pt>
                <c:pt idx="467">
                  <c:v>42146</c:v>
                </c:pt>
                <c:pt idx="468">
                  <c:v>42145</c:v>
                </c:pt>
                <c:pt idx="469">
                  <c:v>42144</c:v>
                </c:pt>
                <c:pt idx="470">
                  <c:v>42143</c:v>
                </c:pt>
                <c:pt idx="471">
                  <c:v>42142</c:v>
                </c:pt>
                <c:pt idx="472">
                  <c:v>42139</c:v>
                </c:pt>
                <c:pt idx="473">
                  <c:v>42138</c:v>
                </c:pt>
                <c:pt idx="474">
                  <c:v>42137</c:v>
                </c:pt>
                <c:pt idx="475">
                  <c:v>42136</c:v>
                </c:pt>
                <c:pt idx="476">
                  <c:v>42135</c:v>
                </c:pt>
                <c:pt idx="477">
                  <c:v>42132</c:v>
                </c:pt>
                <c:pt idx="478">
                  <c:v>42131</c:v>
                </c:pt>
                <c:pt idx="479">
                  <c:v>42130</c:v>
                </c:pt>
                <c:pt idx="480">
                  <c:v>42129</c:v>
                </c:pt>
                <c:pt idx="481">
                  <c:v>42128</c:v>
                </c:pt>
                <c:pt idx="482">
                  <c:v>42125</c:v>
                </c:pt>
                <c:pt idx="483">
                  <c:v>42124</c:v>
                </c:pt>
                <c:pt idx="484">
                  <c:v>42123</c:v>
                </c:pt>
                <c:pt idx="485">
                  <c:v>42122</c:v>
                </c:pt>
                <c:pt idx="486">
                  <c:v>42121</c:v>
                </c:pt>
                <c:pt idx="487">
                  <c:v>42118</c:v>
                </c:pt>
                <c:pt idx="488">
                  <c:v>42117</c:v>
                </c:pt>
                <c:pt idx="489">
                  <c:v>42116</c:v>
                </c:pt>
                <c:pt idx="490">
                  <c:v>42115</c:v>
                </c:pt>
                <c:pt idx="491">
                  <c:v>42114</c:v>
                </c:pt>
                <c:pt idx="492">
                  <c:v>42111</c:v>
                </c:pt>
                <c:pt idx="493">
                  <c:v>42110</c:v>
                </c:pt>
                <c:pt idx="494">
                  <c:v>42109</c:v>
                </c:pt>
                <c:pt idx="495">
                  <c:v>42108</c:v>
                </c:pt>
                <c:pt idx="496">
                  <c:v>42107</c:v>
                </c:pt>
                <c:pt idx="497">
                  <c:v>42104</c:v>
                </c:pt>
                <c:pt idx="498">
                  <c:v>42103</c:v>
                </c:pt>
                <c:pt idx="499">
                  <c:v>42102</c:v>
                </c:pt>
                <c:pt idx="500">
                  <c:v>42101</c:v>
                </c:pt>
                <c:pt idx="501">
                  <c:v>42100</c:v>
                </c:pt>
                <c:pt idx="502">
                  <c:v>42096</c:v>
                </c:pt>
                <c:pt idx="503">
                  <c:v>42095</c:v>
                </c:pt>
                <c:pt idx="504">
                  <c:v>42094</c:v>
                </c:pt>
                <c:pt idx="505">
                  <c:v>42093</c:v>
                </c:pt>
                <c:pt idx="506">
                  <c:v>42090</c:v>
                </c:pt>
                <c:pt idx="507">
                  <c:v>42089</c:v>
                </c:pt>
                <c:pt idx="508">
                  <c:v>42088</c:v>
                </c:pt>
                <c:pt idx="509">
                  <c:v>42087</c:v>
                </c:pt>
                <c:pt idx="510">
                  <c:v>42086</c:v>
                </c:pt>
                <c:pt idx="511">
                  <c:v>42083</c:v>
                </c:pt>
                <c:pt idx="512">
                  <c:v>42082</c:v>
                </c:pt>
                <c:pt idx="513">
                  <c:v>42081</c:v>
                </c:pt>
                <c:pt idx="514">
                  <c:v>42080</c:v>
                </c:pt>
                <c:pt idx="515">
                  <c:v>42079</c:v>
                </c:pt>
                <c:pt idx="516">
                  <c:v>42076</c:v>
                </c:pt>
                <c:pt idx="517">
                  <c:v>42075</c:v>
                </c:pt>
                <c:pt idx="518">
                  <c:v>42074</c:v>
                </c:pt>
                <c:pt idx="519">
                  <c:v>42073</c:v>
                </c:pt>
                <c:pt idx="520">
                  <c:v>42072</c:v>
                </c:pt>
                <c:pt idx="521">
                  <c:v>42069</c:v>
                </c:pt>
                <c:pt idx="522">
                  <c:v>42068</c:v>
                </c:pt>
                <c:pt idx="523">
                  <c:v>42067</c:v>
                </c:pt>
                <c:pt idx="524">
                  <c:v>42066</c:v>
                </c:pt>
                <c:pt idx="525">
                  <c:v>42065</c:v>
                </c:pt>
                <c:pt idx="526">
                  <c:v>42062</c:v>
                </c:pt>
                <c:pt idx="527">
                  <c:v>42061</c:v>
                </c:pt>
                <c:pt idx="528">
                  <c:v>42060</c:v>
                </c:pt>
                <c:pt idx="529">
                  <c:v>42059</c:v>
                </c:pt>
                <c:pt idx="530">
                  <c:v>42058</c:v>
                </c:pt>
                <c:pt idx="531">
                  <c:v>42055</c:v>
                </c:pt>
                <c:pt idx="532">
                  <c:v>42054</c:v>
                </c:pt>
                <c:pt idx="533">
                  <c:v>42053</c:v>
                </c:pt>
                <c:pt idx="534">
                  <c:v>42052</c:v>
                </c:pt>
                <c:pt idx="535">
                  <c:v>42048</c:v>
                </c:pt>
                <c:pt idx="536">
                  <c:v>42047</c:v>
                </c:pt>
                <c:pt idx="537">
                  <c:v>42046</c:v>
                </c:pt>
                <c:pt idx="538">
                  <c:v>42045</c:v>
                </c:pt>
                <c:pt idx="539">
                  <c:v>42044</c:v>
                </c:pt>
                <c:pt idx="540">
                  <c:v>42041</c:v>
                </c:pt>
                <c:pt idx="541">
                  <c:v>42040</c:v>
                </c:pt>
                <c:pt idx="542">
                  <c:v>42039</c:v>
                </c:pt>
                <c:pt idx="543">
                  <c:v>42038</c:v>
                </c:pt>
                <c:pt idx="544">
                  <c:v>42037</c:v>
                </c:pt>
                <c:pt idx="545">
                  <c:v>42034</c:v>
                </c:pt>
                <c:pt idx="546">
                  <c:v>42033</c:v>
                </c:pt>
                <c:pt idx="547">
                  <c:v>42032</c:v>
                </c:pt>
                <c:pt idx="548">
                  <c:v>42031</c:v>
                </c:pt>
                <c:pt idx="549">
                  <c:v>42030</c:v>
                </c:pt>
                <c:pt idx="550">
                  <c:v>42027</c:v>
                </c:pt>
                <c:pt idx="551">
                  <c:v>42026</c:v>
                </c:pt>
                <c:pt idx="552">
                  <c:v>42025</c:v>
                </c:pt>
                <c:pt idx="553">
                  <c:v>42024</c:v>
                </c:pt>
                <c:pt idx="554">
                  <c:v>42020</c:v>
                </c:pt>
                <c:pt idx="555">
                  <c:v>42019</c:v>
                </c:pt>
                <c:pt idx="556">
                  <c:v>42018</c:v>
                </c:pt>
                <c:pt idx="557">
                  <c:v>42017</c:v>
                </c:pt>
                <c:pt idx="558">
                  <c:v>42016</c:v>
                </c:pt>
                <c:pt idx="559">
                  <c:v>42013</c:v>
                </c:pt>
                <c:pt idx="560">
                  <c:v>42012</c:v>
                </c:pt>
                <c:pt idx="561">
                  <c:v>42011</c:v>
                </c:pt>
                <c:pt idx="562">
                  <c:v>42010</c:v>
                </c:pt>
                <c:pt idx="563">
                  <c:v>42009</c:v>
                </c:pt>
                <c:pt idx="564">
                  <c:v>42006</c:v>
                </c:pt>
              </c:numCache>
            </c:numRef>
          </c:cat>
          <c:val>
            <c:numRef>
              <c:f>'Graf 3+4'!$N$3:$N$567</c:f>
              <c:numCache>
                <c:formatCode>General</c:formatCode>
                <c:ptCount val="565"/>
                <c:pt idx="0">
                  <c:v>1.0375189174515289</c:v>
                </c:pt>
                <c:pt idx="1">
                  <c:v>1.0400828537999036</c:v>
                </c:pt>
                <c:pt idx="2">
                  <c:v>1.0447309507744382</c:v>
                </c:pt>
                <c:pt idx="3">
                  <c:v>1.039481604503385</c:v>
                </c:pt>
                <c:pt idx="4">
                  <c:v>1.0359747458184709</c:v>
                </c:pt>
                <c:pt idx="5">
                  <c:v>1.0361724004352411</c:v>
                </c:pt>
                <c:pt idx="6">
                  <c:v>1.0297701019173608</c:v>
                </c:pt>
                <c:pt idx="7">
                  <c:v>1.0321864697182312</c:v>
                </c:pt>
                <c:pt idx="8">
                  <c:v>1.0269399175669358</c:v>
                </c:pt>
                <c:pt idx="9">
                  <c:v>1.0317792076683796</c:v>
                </c:pt>
                <c:pt idx="10">
                  <c:v>1.0264225516546022</c:v>
                </c:pt>
                <c:pt idx="11">
                  <c:v>1.0090802398645962</c:v>
                </c:pt>
                <c:pt idx="12">
                  <c:v>1.0056043251778033</c:v>
                </c:pt>
                <c:pt idx="13">
                  <c:v>1.0138547484809317</c:v>
                </c:pt>
                <c:pt idx="14">
                  <c:v>1.0150201563121604</c:v>
                </c:pt>
                <c:pt idx="15">
                  <c:v>1.0047212551266669</c:v>
                </c:pt>
                <c:pt idx="16">
                  <c:v>0.99463603865238293</c:v>
                </c:pt>
                <c:pt idx="17">
                  <c:v>0.99690484710462157</c:v>
                </c:pt>
                <c:pt idx="18">
                  <c:v>0.99787899766155297</c:v>
                </c:pt>
                <c:pt idx="19">
                  <c:v>1.0010518286750196</c:v>
                </c:pt>
                <c:pt idx="20">
                  <c:v>0.99017320717870305</c:v>
                </c:pt>
                <c:pt idx="21">
                  <c:v>0.9972740332972676</c:v>
                </c:pt>
                <c:pt idx="22">
                  <c:v>0.98024554803793196</c:v>
                </c:pt>
                <c:pt idx="23">
                  <c:v>0.97675167658766515</c:v>
                </c:pt>
                <c:pt idx="24">
                  <c:v>0.97185806094518745</c:v>
                </c:pt>
                <c:pt idx="25">
                  <c:v>0.98062976675284941</c:v>
                </c:pt>
                <c:pt idx="26">
                  <c:v>0.98032669412537854</c:v>
                </c:pt>
                <c:pt idx="27">
                  <c:v>0.98006016110522887</c:v>
                </c:pt>
                <c:pt idx="28">
                  <c:v>0.97749219286175526</c:v>
                </c:pt>
                <c:pt idx="29">
                  <c:v>0.98182416419484109</c:v>
                </c:pt>
                <c:pt idx="30">
                  <c:v>0.9791417232423385</c:v>
                </c:pt>
                <c:pt idx="31">
                  <c:v>0.97285641374279663</c:v>
                </c:pt>
                <c:pt idx="32">
                  <c:v>0.97467797747139073</c:v>
                </c:pt>
                <c:pt idx="33">
                  <c:v>0.96777182627346292</c:v>
                </c:pt>
                <c:pt idx="34">
                  <c:v>0.97204881671968835</c:v>
                </c:pt>
                <c:pt idx="35">
                  <c:v>0.96355814398874862</c:v>
                </c:pt>
                <c:pt idx="36">
                  <c:v>0.96237005434162493</c:v>
                </c:pt>
                <c:pt idx="37">
                  <c:v>0.96717534611253297</c:v>
                </c:pt>
                <c:pt idx="38">
                  <c:v>0.98230290882360571</c:v>
                </c:pt>
                <c:pt idx="39">
                  <c:v>0.97668256966057498</c:v>
                </c:pt>
                <c:pt idx="40">
                  <c:v>0.97506228511887483</c:v>
                </c:pt>
                <c:pt idx="41">
                  <c:v>0.96922085198218833</c:v>
                </c:pt>
                <c:pt idx="42">
                  <c:v>0.97061422022670696</c:v>
                </c:pt>
                <c:pt idx="43">
                  <c:v>0.98198334934314113</c:v>
                </c:pt>
                <c:pt idx="44">
                  <c:v>0.98711608094582859</c:v>
                </c:pt>
                <c:pt idx="45">
                  <c:v>0.99396609902600064</c:v>
                </c:pt>
                <c:pt idx="46">
                  <c:v>0.98215912832476948</c:v>
                </c:pt>
                <c:pt idx="47">
                  <c:v>0.97676127765299103</c:v>
                </c:pt>
                <c:pt idx="48">
                  <c:v>0.97993038834336588</c:v>
                </c:pt>
                <c:pt idx="49">
                  <c:v>0.97310611834961858</c:v>
                </c:pt>
                <c:pt idx="50">
                  <c:v>0.97898886244689987</c:v>
                </c:pt>
                <c:pt idx="51">
                  <c:v>0.97776090450198838</c:v>
                </c:pt>
                <c:pt idx="52">
                  <c:v>0.98382300870318273</c:v>
                </c:pt>
                <c:pt idx="53">
                  <c:v>0.9735105229656551</c:v>
                </c:pt>
                <c:pt idx="54">
                  <c:v>0.9714626273334479</c:v>
                </c:pt>
                <c:pt idx="55">
                  <c:v>0.97112885183961328</c:v>
                </c:pt>
                <c:pt idx="56">
                  <c:v>0.97290814752095467</c:v>
                </c:pt>
                <c:pt idx="57">
                  <c:v>0.97459832734786755</c:v>
                </c:pt>
                <c:pt idx="58">
                  <c:v>0.9777167454648259</c:v>
                </c:pt>
                <c:pt idx="59">
                  <c:v>0.96600498458110229</c:v>
                </c:pt>
                <c:pt idx="60">
                  <c:v>0.96093186786429041</c:v>
                </c:pt>
                <c:pt idx="61">
                  <c:v>0.96494859282274947</c:v>
                </c:pt>
                <c:pt idx="62">
                  <c:v>0.95201165185454051</c:v>
                </c:pt>
                <c:pt idx="63">
                  <c:v>0.94567783423652907</c:v>
                </c:pt>
                <c:pt idx="64">
                  <c:v>0.95250629640621187</c:v>
                </c:pt>
                <c:pt idx="65">
                  <c:v>0.95034671172942908</c:v>
                </c:pt>
                <c:pt idx="66">
                  <c:v>0.9484072165178643</c:v>
                </c:pt>
                <c:pt idx="67">
                  <c:v>0.94734830309692408</c:v>
                </c:pt>
                <c:pt idx="68">
                  <c:v>0.94720736473766265</c:v>
                </c:pt>
                <c:pt idx="69">
                  <c:v>0.94502314931649201</c:v>
                </c:pt>
                <c:pt idx="70">
                  <c:v>0.94564097481985354</c:v>
                </c:pt>
                <c:pt idx="71">
                  <c:v>0.93953928476302129</c:v>
                </c:pt>
                <c:pt idx="72">
                  <c:v>0.95067951055151445</c:v>
                </c:pt>
                <c:pt idx="73">
                  <c:v>0.95550801940176644</c:v>
                </c:pt>
                <c:pt idx="74">
                  <c:v>0.94546608945776645</c:v>
                </c:pt>
                <c:pt idx="75">
                  <c:v>0.93529289298486118</c:v>
                </c:pt>
                <c:pt idx="76">
                  <c:v>0.93813253935318008</c:v>
                </c:pt>
                <c:pt idx="77">
                  <c:v>0.93701228620558941</c:v>
                </c:pt>
                <c:pt idx="78">
                  <c:v>0.92060765869569638</c:v>
                </c:pt>
                <c:pt idx="79">
                  <c:v>0.91006938768162682</c:v>
                </c:pt>
                <c:pt idx="80">
                  <c:v>0.88886647788508055</c:v>
                </c:pt>
                <c:pt idx="81">
                  <c:v>0.88941456852738865</c:v>
                </c:pt>
                <c:pt idx="82">
                  <c:v>0.89373849670507588</c:v>
                </c:pt>
                <c:pt idx="83">
                  <c:v>0.89204360026906415</c:v>
                </c:pt>
                <c:pt idx="84">
                  <c:v>0.88088079331633851</c:v>
                </c:pt>
                <c:pt idx="85">
                  <c:v>0.89198773267104725</c:v>
                </c:pt>
                <c:pt idx="86">
                  <c:v>0.88320345720431992</c:v>
                </c:pt>
                <c:pt idx="87">
                  <c:v>0.89358205815380165</c:v>
                </c:pt>
                <c:pt idx="88">
                  <c:v>0.88803836949574966</c:v>
                </c:pt>
                <c:pt idx="89">
                  <c:v>0.88212276190290995</c:v>
                </c:pt>
                <c:pt idx="90">
                  <c:v>0.89368205234108422</c:v>
                </c:pt>
                <c:pt idx="91">
                  <c:v>0.89422171339218925</c:v>
                </c:pt>
                <c:pt idx="92">
                  <c:v>0.90530229385393768</c:v>
                </c:pt>
                <c:pt idx="93">
                  <c:v>0.90353231573437043</c:v>
                </c:pt>
                <c:pt idx="94">
                  <c:v>0.91055858990147787</c:v>
                </c:pt>
                <c:pt idx="95">
                  <c:v>0.91882838459354255</c:v>
                </c:pt>
                <c:pt idx="96">
                  <c:v>0.92637619473269273</c:v>
                </c:pt>
                <c:pt idx="97">
                  <c:v>0.92321096079622134</c:v>
                </c:pt>
                <c:pt idx="98">
                  <c:v>0.92032849207290579</c:v>
                </c:pt>
                <c:pt idx="99">
                  <c:v>0.90839539652707169</c:v>
                </c:pt>
                <c:pt idx="100">
                  <c:v>0.91459290761293843</c:v>
                </c:pt>
                <c:pt idx="101">
                  <c:v>0.91566581940872593</c:v>
                </c:pt>
                <c:pt idx="102">
                  <c:v>0.92595961318177888</c:v>
                </c:pt>
                <c:pt idx="103">
                  <c:v>0.92807219779839789</c:v>
                </c:pt>
                <c:pt idx="104">
                  <c:v>0.93377708256727932</c:v>
                </c:pt>
                <c:pt idx="105">
                  <c:v>0.93130072513313866</c:v>
                </c:pt>
                <c:pt idx="106">
                  <c:v>0.93177612265619758</c:v>
                </c:pt>
                <c:pt idx="107">
                  <c:v>0.93193457330146701</c:v>
                </c:pt>
                <c:pt idx="108">
                  <c:v>0.93282682678234696</c:v>
                </c:pt>
                <c:pt idx="109">
                  <c:v>0.92718996720706892</c:v>
                </c:pt>
                <c:pt idx="110">
                  <c:v>0.93334756239791239</c:v>
                </c:pt>
                <c:pt idx="111">
                  <c:v>0.92868836734154825</c:v>
                </c:pt>
                <c:pt idx="112">
                  <c:v>0.92775875766693972</c:v>
                </c:pt>
                <c:pt idx="113">
                  <c:v>0.91605168379079571</c:v>
                </c:pt>
                <c:pt idx="114">
                  <c:v>0.92095322847832306</c:v>
                </c:pt>
                <c:pt idx="115">
                  <c:v>0.9082411416052989</c:v>
                </c:pt>
                <c:pt idx="116">
                  <c:v>0.91831177418275001</c:v>
                </c:pt>
                <c:pt idx="117">
                  <c:v>0.92601142931810898</c:v>
                </c:pt>
                <c:pt idx="118">
                  <c:v>0.93767227941556319</c:v>
                </c:pt>
                <c:pt idx="119">
                  <c:v>0.92811872827788777</c:v>
                </c:pt>
                <c:pt idx="120">
                  <c:v>0.93444922632150851</c:v>
                </c:pt>
                <c:pt idx="121">
                  <c:v>0.94001173965361562</c:v>
                </c:pt>
                <c:pt idx="122">
                  <c:v>0.94000374843463819</c:v>
                </c:pt>
                <c:pt idx="123">
                  <c:v>0.93182678302794364</c:v>
                </c:pt>
                <c:pt idx="124">
                  <c:v>0.93396203706783631</c:v>
                </c:pt>
                <c:pt idx="125">
                  <c:v>0.92995163074259835</c:v>
                </c:pt>
                <c:pt idx="126">
                  <c:v>0.92854531633063919</c:v>
                </c:pt>
                <c:pt idx="127">
                  <c:v>0.9226197489799095</c:v>
                </c:pt>
                <c:pt idx="128">
                  <c:v>0.9273295971512745</c:v>
                </c:pt>
                <c:pt idx="129">
                  <c:v>0.94410436642704454</c:v>
                </c:pt>
                <c:pt idx="130">
                  <c:v>0.95010091829174259</c:v>
                </c:pt>
                <c:pt idx="131">
                  <c:v>0.92046498836452884</c:v>
                </c:pt>
                <c:pt idx="132">
                  <c:v>0.91516381971021588</c:v>
                </c:pt>
                <c:pt idx="133">
                  <c:v>0.91739846550631543</c:v>
                </c:pt>
                <c:pt idx="134">
                  <c:v>0.90486708400245464</c:v>
                </c:pt>
                <c:pt idx="135">
                  <c:v>0.92475653874663943</c:v>
                </c:pt>
                <c:pt idx="136">
                  <c:v>0.92283430624995599</c:v>
                </c:pt>
                <c:pt idx="137">
                  <c:v>0.9244767932214768</c:v>
                </c:pt>
                <c:pt idx="138">
                  <c:v>0.93720368548783028</c:v>
                </c:pt>
                <c:pt idx="139">
                  <c:v>0.94856176087192967</c:v>
                </c:pt>
                <c:pt idx="140">
                  <c:v>0.96104272965283255</c:v>
                </c:pt>
                <c:pt idx="141">
                  <c:v>0.96251474199317322</c:v>
                </c:pt>
                <c:pt idx="142">
                  <c:v>0.95631809851367944</c:v>
                </c:pt>
                <c:pt idx="143">
                  <c:v>0.95246314141942423</c:v>
                </c:pt>
                <c:pt idx="144">
                  <c:v>0.93502345022739775</c:v>
                </c:pt>
                <c:pt idx="145">
                  <c:v>0.93331084624567873</c:v>
                </c:pt>
                <c:pt idx="146">
                  <c:v>0.93519894547780669</c:v>
                </c:pt>
                <c:pt idx="147">
                  <c:v>0.92670456466774054</c:v>
                </c:pt>
                <c:pt idx="148">
                  <c:v>0.93587508506358996</c:v>
                </c:pt>
                <c:pt idx="149">
                  <c:v>0.93212889204870564</c:v>
                </c:pt>
                <c:pt idx="150">
                  <c:v>0.93828261197209706</c:v>
                </c:pt>
                <c:pt idx="151">
                  <c:v>0.93766974481163112</c:v>
                </c:pt>
                <c:pt idx="152">
                  <c:v>0.92657959894400088</c:v>
                </c:pt>
                <c:pt idx="153">
                  <c:v>0.92921750484498311</c:v>
                </c:pt>
                <c:pt idx="154">
                  <c:v>0.93913967488097261</c:v>
                </c:pt>
                <c:pt idx="155">
                  <c:v>0.92910617983741606</c:v>
                </c:pt>
                <c:pt idx="156">
                  <c:v>0.94057493158906302</c:v>
                </c:pt>
                <c:pt idx="157">
                  <c:v>0.94287021244315872</c:v>
                </c:pt>
                <c:pt idx="158">
                  <c:v>0.94105435344722888</c:v>
                </c:pt>
                <c:pt idx="159">
                  <c:v>0.94150077670288779</c:v>
                </c:pt>
                <c:pt idx="160">
                  <c:v>0.93218718089952457</c:v>
                </c:pt>
                <c:pt idx="161">
                  <c:v>0.92998227400705047</c:v>
                </c:pt>
                <c:pt idx="162">
                  <c:v>0.91209036955776557</c:v>
                </c:pt>
                <c:pt idx="163">
                  <c:v>0.90998837521678522</c:v>
                </c:pt>
                <c:pt idx="164">
                  <c:v>0.90043270343282411</c:v>
                </c:pt>
                <c:pt idx="165">
                  <c:v>0.89636795774862676</c:v>
                </c:pt>
                <c:pt idx="166">
                  <c:v>0.89933657360270325</c:v>
                </c:pt>
                <c:pt idx="167">
                  <c:v>0.91510787889397394</c:v>
                </c:pt>
                <c:pt idx="168">
                  <c:v>0.92170369816936426</c:v>
                </c:pt>
                <c:pt idx="169">
                  <c:v>0.90601587190010946</c:v>
                </c:pt>
                <c:pt idx="170">
                  <c:v>0.90949689260716848</c:v>
                </c:pt>
                <c:pt idx="171">
                  <c:v>0.90231336250252858</c:v>
                </c:pt>
                <c:pt idx="172">
                  <c:v>0.90031180849509473</c:v>
                </c:pt>
                <c:pt idx="173">
                  <c:v>0.89815446902414342</c:v>
                </c:pt>
                <c:pt idx="174">
                  <c:v>0.90062382850396916</c:v>
                </c:pt>
                <c:pt idx="175">
                  <c:v>0.89992295192101435</c:v>
                </c:pt>
                <c:pt idx="176">
                  <c:v>0.88842733097972193</c:v>
                </c:pt>
                <c:pt idx="177">
                  <c:v>0.89967145882896959</c:v>
                </c:pt>
                <c:pt idx="178">
                  <c:v>0.90206462674384813</c:v>
                </c:pt>
                <c:pt idx="179">
                  <c:v>0.90813875421876333</c:v>
                </c:pt>
                <c:pt idx="180">
                  <c:v>0.89515335885087688</c:v>
                </c:pt>
                <c:pt idx="181">
                  <c:v>0.89611309739527711</c:v>
                </c:pt>
                <c:pt idx="182">
                  <c:v>0.87584831646079775</c:v>
                </c:pt>
                <c:pt idx="183">
                  <c:v>0.85936209566601596</c:v>
                </c:pt>
                <c:pt idx="184">
                  <c:v>0.83936233462025478</c:v>
                </c:pt>
                <c:pt idx="185">
                  <c:v>0.83484925363720697</c:v>
                </c:pt>
                <c:pt idx="186">
                  <c:v>0.85324988459544637</c:v>
                </c:pt>
                <c:pt idx="187">
                  <c:v>0.88170957653026405</c:v>
                </c:pt>
                <c:pt idx="188">
                  <c:v>0.86949776880414165</c:v>
                </c:pt>
                <c:pt idx="189">
                  <c:v>0.86027986012237978</c:v>
                </c:pt>
                <c:pt idx="190">
                  <c:v>0.82945317475030778</c:v>
                </c:pt>
                <c:pt idx="191">
                  <c:v>0.80536409504567175</c:v>
                </c:pt>
                <c:pt idx="192">
                  <c:v>0.84483395857179255</c:v>
                </c:pt>
                <c:pt idx="193">
                  <c:v>0.94605526196565881</c:v>
                </c:pt>
                <c:pt idx="194">
                  <c:v>0.92154863306327339</c:v>
                </c:pt>
                <c:pt idx="195">
                  <c:v>0.91392929541932166</c:v>
                </c:pt>
                <c:pt idx="196">
                  <c:v>0.91060796014704892</c:v>
                </c:pt>
                <c:pt idx="197">
                  <c:v>0.87331734244492365</c:v>
                </c:pt>
                <c:pt idx="198">
                  <c:v>0.85731203889530683</c:v>
                </c:pt>
                <c:pt idx="199">
                  <c:v>0.86394632960115803</c:v>
                </c:pt>
                <c:pt idx="200">
                  <c:v>0.84984983921496404</c:v>
                </c:pt>
                <c:pt idx="201">
                  <c:v>0.87576176794441984</c:v>
                </c:pt>
                <c:pt idx="202">
                  <c:v>0.89502314509295955</c:v>
                </c:pt>
                <c:pt idx="203">
                  <c:v>0.92461957771072179</c:v>
                </c:pt>
                <c:pt idx="204">
                  <c:v>0.94174261864758746</c:v>
                </c:pt>
                <c:pt idx="205">
                  <c:v>0.94425055067734598</c:v>
                </c:pt>
                <c:pt idx="206">
                  <c:v>0.93391043593235423</c:v>
                </c:pt>
                <c:pt idx="207">
                  <c:v>0.92786143221347461</c:v>
                </c:pt>
                <c:pt idx="208">
                  <c:v>0.92477364363206038</c:v>
                </c:pt>
                <c:pt idx="209">
                  <c:v>0.92799767847122006</c:v>
                </c:pt>
                <c:pt idx="210">
                  <c:v>0.93294688688046068</c:v>
                </c:pt>
                <c:pt idx="211">
                  <c:v>0.93764071368939916</c:v>
                </c:pt>
                <c:pt idx="212">
                  <c:v>0.93877144373513932</c:v>
                </c:pt>
                <c:pt idx="213">
                  <c:v>0.93410439203800033</c:v>
                </c:pt>
                <c:pt idx="214">
                  <c:v>0.91608980988988842</c:v>
                </c:pt>
                <c:pt idx="215">
                  <c:v>0.89535613679589732</c:v>
                </c:pt>
                <c:pt idx="216">
                  <c:v>0.90548883735075503</c:v>
                </c:pt>
                <c:pt idx="217">
                  <c:v>0.89032677552108863</c:v>
                </c:pt>
                <c:pt idx="218">
                  <c:v>0.90930250266267487</c:v>
                </c:pt>
                <c:pt idx="219">
                  <c:v>0.9075890272201752</c:v>
                </c:pt>
                <c:pt idx="220">
                  <c:v>0.9117437954985641</c:v>
                </c:pt>
                <c:pt idx="221">
                  <c:v>0.91051096785481844</c:v>
                </c:pt>
                <c:pt idx="222">
                  <c:v>0.91143754726720427</c:v>
                </c:pt>
                <c:pt idx="223">
                  <c:v>0.92261946463646405</c:v>
                </c:pt>
                <c:pt idx="224">
                  <c:v>0.92573177278102703</c:v>
                </c:pt>
                <c:pt idx="225">
                  <c:v>0.91869949533208328</c:v>
                </c:pt>
                <c:pt idx="226">
                  <c:v>0.915228538381613</c:v>
                </c:pt>
                <c:pt idx="227">
                  <c:v>0.91528448487536718</c:v>
                </c:pt>
                <c:pt idx="228">
                  <c:v>0.92213725993488316</c:v>
                </c:pt>
                <c:pt idx="229">
                  <c:v>0.936627980262561</c:v>
                </c:pt>
                <c:pt idx="230">
                  <c:v>0.95563011812958143</c:v>
                </c:pt>
                <c:pt idx="231">
                  <c:v>0.94682707141749001</c:v>
                </c:pt>
                <c:pt idx="232">
                  <c:v>0.96913049252417238</c:v>
                </c:pt>
                <c:pt idx="233">
                  <c:v>0.96958154629683491</c:v>
                </c:pt>
                <c:pt idx="234">
                  <c:v>0.96407827982130723</c:v>
                </c:pt>
                <c:pt idx="235">
                  <c:v>0.96032397655039126</c:v>
                </c:pt>
                <c:pt idx="236">
                  <c:v>0.9640026327915987</c:v>
                </c:pt>
                <c:pt idx="237">
                  <c:v>0.97397241384486422</c:v>
                </c:pt>
                <c:pt idx="238">
                  <c:v>0.9736221234557414</c:v>
                </c:pt>
                <c:pt idx="239">
                  <c:v>0.96848422839140191</c:v>
                </c:pt>
                <c:pt idx="240">
                  <c:v>0.94793001743016148</c:v>
                </c:pt>
                <c:pt idx="241">
                  <c:v>0.94236011578583168</c:v>
                </c:pt>
                <c:pt idx="242">
                  <c:v>0.94156705508954563</c:v>
                </c:pt>
                <c:pt idx="243">
                  <c:v>0.93639985516037472</c:v>
                </c:pt>
                <c:pt idx="244">
                  <c:v>0.9114778468270337</c:v>
                </c:pt>
                <c:pt idx="245">
                  <c:v>0.90871979919080736</c:v>
                </c:pt>
                <c:pt idx="246">
                  <c:v>0.90389679849413906</c:v>
                </c:pt>
                <c:pt idx="247">
                  <c:v>0.88706100646559438</c:v>
                </c:pt>
                <c:pt idx="248">
                  <c:v>0.90342230864969442</c:v>
                </c:pt>
                <c:pt idx="249">
                  <c:v>0.8951670304692656</c:v>
                </c:pt>
                <c:pt idx="250">
                  <c:v>0.91936335169235806</c:v>
                </c:pt>
                <c:pt idx="251">
                  <c:v>0.91605174859569982</c:v>
                </c:pt>
                <c:pt idx="252">
                  <c:v>0.93229022787110649</c:v>
                </c:pt>
                <c:pt idx="253">
                  <c:v>0.93975076128095836</c:v>
                </c:pt>
                <c:pt idx="254">
                  <c:v>0.92183910474920761</c:v>
                </c:pt>
                <c:pt idx="255">
                  <c:v>0.90866023382382566</c:v>
                </c:pt>
                <c:pt idx="256">
                  <c:v>0.90866023382382566</c:v>
                </c:pt>
                <c:pt idx="257">
                  <c:v>0.9267891677590645</c:v>
                </c:pt>
                <c:pt idx="258">
                  <c:v>0.93296441504005911</c:v>
                </c:pt>
                <c:pt idx="259">
                  <c:v>0.93464866248255785</c:v>
                </c:pt>
                <c:pt idx="260">
                  <c:v>0.94054140279459153</c:v>
                </c:pt>
                <c:pt idx="261">
                  <c:v>0.93888353100622157</c:v>
                </c:pt>
                <c:pt idx="262">
                  <c:v>0.92399975652074251</c:v>
                </c:pt>
                <c:pt idx="263">
                  <c:v>0.9281978247711975</c:v>
                </c:pt>
                <c:pt idx="264">
                  <c:v>0.9338821569238771</c:v>
                </c:pt>
                <c:pt idx="265">
                  <c:v>0.93436960398820412</c:v>
                </c:pt>
                <c:pt idx="266">
                  <c:v>0.90320423171278952</c:v>
                </c:pt>
                <c:pt idx="267">
                  <c:v>0.90352098379265411</c:v>
                </c:pt>
                <c:pt idx="268">
                  <c:v>0.89788903104978379</c:v>
                </c:pt>
                <c:pt idx="269">
                  <c:v>0.90438498483881058</c:v>
                </c:pt>
                <c:pt idx="270">
                  <c:v>0.90765824428801922</c:v>
                </c:pt>
                <c:pt idx="271">
                  <c:v>0.89474391403232167</c:v>
                </c:pt>
                <c:pt idx="272">
                  <c:v>0.88926842870290534</c:v>
                </c:pt>
                <c:pt idx="273">
                  <c:v>0.88113920129698431</c:v>
                </c:pt>
                <c:pt idx="274">
                  <c:v>0.86553845794574946</c:v>
                </c:pt>
                <c:pt idx="275">
                  <c:v>0.86447726849559614</c:v>
                </c:pt>
                <c:pt idx="276">
                  <c:v>0.85719110033204649</c:v>
                </c:pt>
                <c:pt idx="277">
                  <c:v>0.83534289885115953</c:v>
                </c:pt>
                <c:pt idx="278">
                  <c:v>0.85832989786058422</c:v>
                </c:pt>
                <c:pt idx="279">
                  <c:v>0.87481397102622793</c:v>
                </c:pt>
                <c:pt idx="280">
                  <c:v>0.86219367933542612</c:v>
                </c:pt>
                <c:pt idx="281">
                  <c:v>0.86926882204264611</c:v>
                </c:pt>
                <c:pt idx="282">
                  <c:v>0.87284515216647285</c:v>
                </c:pt>
                <c:pt idx="283">
                  <c:v>0.84500600435139939</c:v>
                </c:pt>
                <c:pt idx="284">
                  <c:v>0.83130741774663952</c:v>
                </c:pt>
                <c:pt idx="285">
                  <c:v>0.8106475051387616</c:v>
                </c:pt>
                <c:pt idx="286">
                  <c:v>0.84097731642479068</c:v>
                </c:pt>
                <c:pt idx="287">
                  <c:v>0.82916273306160648</c:v>
                </c:pt>
                <c:pt idx="288">
                  <c:v>0.83378933283809142</c:v>
                </c:pt>
                <c:pt idx="289">
                  <c:v>0.86425376823970179</c:v>
                </c:pt>
                <c:pt idx="290">
                  <c:v>0.87830576768886126</c:v>
                </c:pt>
                <c:pt idx="291">
                  <c:v>0.86343908272999847</c:v>
                </c:pt>
                <c:pt idx="292">
                  <c:v>0.86811474721391635</c:v>
                </c:pt>
                <c:pt idx="293">
                  <c:v>0.88930310092808762</c:v>
                </c:pt>
                <c:pt idx="294">
                  <c:v>0.89281912582703371</c:v>
                </c:pt>
                <c:pt idx="295">
                  <c:v>0.88030259971188496</c:v>
                </c:pt>
                <c:pt idx="296">
                  <c:v>0.89477448490511247</c:v>
                </c:pt>
                <c:pt idx="297">
                  <c:v>0.88867843524335921</c:v>
                </c:pt>
                <c:pt idx="298">
                  <c:v>0.87711854446424597</c:v>
                </c:pt>
                <c:pt idx="299">
                  <c:v>0.88255415067021459</c:v>
                </c:pt>
                <c:pt idx="300">
                  <c:v>0.85855637854563649</c:v>
                </c:pt>
                <c:pt idx="301">
                  <c:v>0.84466675402475211</c:v>
                </c:pt>
                <c:pt idx="302">
                  <c:v>0.87795618135729847</c:v>
                </c:pt>
                <c:pt idx="303">
                  <c:v>0.87058942956944474</c:v>
                </c:pt>
                <c:pt idx="304">
                  <c:v>0.88614968192131371</c:v>
                </c:pt>
                <c:pt idx="305">
                  <c:v>0.90110376998644703</c:v>
                </c:pt>
                <c:pt idx="306">
                  <c:v>0.89735824146805609</c:v>
                </c:pt>
                <c:pt idx="307">
                  <c:v>0.88898809978566895</c:v>
                </c:pt>
                <c:pt idx="308">
                  <c:v>0.89160107362416996</c:v>
                </c:pt>
                <c:pt idx="309">
                  <c:v>0.90584853209503846</c:v>
                </c:pt>
                <c:pt idx="310">
                  <c:v>0.91347791766915698</c:v>
                </c:pt>
                <c:pt idx="311">
                  <c:v>0.92482486167141031</c:v>
                </c:pt>
                <c:pt idx="312">
                  <c:v>0.92732156884312622</c:v>
                </c:pt>
                <c:pt idx="313">
                  <c:v>0.9630490228707389</c:v>
                </c:pt>
                <c:pt idx="314">
                  <c:v>0.97337029272267017</c:v>
                </c:pt>
                <c:pt idx="315">
                  <c:v>0.98321138790942153</c:v>
                </c:pt>
                <c:pt idx="316">
                  <c:v>0.96945279786486593</c:v>
                </c:pt>
                <c:pt idx="317">
                  <c:v>0.97588948810035725</c:v>
                </c:pt>
                <c:pt idx="318">
                  <c:v>0.9701335716206041</c:v>
                </c:pt>
                <c:pt idx="319">
                  <c:v>0.95591677384473428</c:v>
                </c:pt>
                <c:pt idx="320">
                  <c:v>0.95009994053918723</c:v>
                </c:pt>
                <c:pt idx="321">
                  <c:v>0.95791219435640507</c:v>
                </c:pt>
                <c:pt idx="322">
                  <c:v>0.97010798380126384</c:v>
                </c:pt>
                <c:pt idx="323">
                  <c:v>0.96169682858319017</c:v>
                </c:pt>
                <c:pt idx="324">
                  <c:v>0.95988765495658823</c:v>
                </c:pt>
                <c:pt idx="325">
                  <c:v>0.93584030457469103</c:v>
                </c:pt>
                <c:pt idx="326">
                  <c:v>0.95393890082914234</c:v>
                </c:pt>
                <c:pt idx="327">
                  <c:v>0.97014923559297195</c:v>
                </c:pt>
                <c:pt idx="328">
                  <c:v>0.97743670532339366</c:v>
                </c:pt>
                <c:pt idx="329">
                  <c:v>0.97317280728272548</c:v>
                </c:pt>
                <c:pt idx="330">
                  <c:v>0.98841065247850746</c:v>
                </c:pt>
                <c:pt idx="331">
                  <c:v>0.98123654439013519</c:v>
                </c:pt>
                <c:pt idx="332">
                  <c:v>0.98801783236158691</c:v>
                </c:pt>
                <c:pt idx="333">
                  <c:v>0.99528096847075886</c:v>
                </c:pt>
                <c:pt idx="334">
                  <c:v>1.0013473671412614</c:v>
                </c:pt>
                <c:pt idx="335">
                  <c:v>1.0037308103260427</c:v>
                </c:pt>
                <c:pt idx="336">
                  <c:v>1.0025189766770124</c:v>
                </c:pt>
                <c:pt idx="337">
                  <c:v>0.99692234554442516</c:v>
                </c:pt>
                <c:pt idx="338">
                  <c:v>0.98382522582057685</c:v>
                </c:pt>
                <c:pt idx="339">
                  <c:v>0.9916595955355465</c:v>
                </c:pt>
                <c:pt idx="340">
                  <c:v>0.99655319331051695</c:v>
                </c:pt>
                <c:pt idx="341">
                  <c:v>1.0026253974989254</c:v>
                </c:pt>
                <c:pt idx="342">
                  <c:v>0.98954621945493848</c:v>
                </c:pt>
                <c:pt idx="343">
                  <c:v>0.99599951200176084</c:v>
                </c:pt>
                <c:pt idx="344">
                  <c:v>0.97383007907916852</c:v>
                </c:pt>
                <c:pt idx="345">
                  <c:v>0.97634471781595034</c:v>
                </c:pt>
                <c:pt idx="346">
                  <c:v>0.98920720743824431</c:v>
                </c:pt>
                <c:pt idx="347">
                  <c:v>1.0022370531649325</c:v>
                </c:pt>
                <c:pt idx="348">
                  <c:v>0.99325965689355211</c:v>
                </c:pt>
                <c:pt idx="349">
                  <c:v>0.99604426610876562</c:v>
                </c:pt>
                <c:pt idx="350">
                  <c:v>1.0085816892685244</c:v>
                </c:pt>
                <c:pt idx="351">
                  <c:v>1.014423278942707</c:v>
                </c:pt>
                <c:pt idx="352">
                  <c:v>1.0111701114496605</c:v>
                </c:pt>
                <c:pt idx="353">
                  <c:v>1.0215816352633813</c:v>
                </c:pt>
                <c:pt idx="354">
                  <c:v>1.0248389617752198</c:v>
                </c:pt>
                <c:pt idx="355">
                  <c:v>1.0198056043176074</c:v>
                </c:pt>
                <c:pt idx="356">
                  <c:v>1.0137307266781841</c:v>
                </c:pt>
                <c:pt idx="357">
                  <c:v>1.0248183472334458</c:v>
                </c:pt>
                <c:pt idx="358">
                  <c:v>1.0104887867668291</c:v>
                </c:pt>
                <c:pt idx="359">
                  <c:v>1.0217591833316497</c:v>
                </c:pt>
                <c:pt idx="360">
                  <c:v>1.0215931496293331</c:v>
                </c:pt>
                <c:pt idx="361">
                  <c:v>1.0110120477971587</c:v>
                </c:pt>
                <c:pt idx="362">
                  <c:v>1.0051708129177439</c:v>
                </c:pt>
                <c:pt idx="363">
                  <c:v>1.0006309551370549</c:v>
                </c:pt>
                <c:pt idx="364">
                  <c:v>1.0029821971685475</c:v>
                </c:pt>
                <c:pt idx="365">
                  <c:v>1.0059998459720911</c:v>
                </c:pt>
                <c:pt idx="366">
                  <c:v>0.99970357354255768</c:v>
                </c:pt>
                <c:pt idx="367">
                  <c:v>0.98880346024332288</c:v>
                </c:pt>
                <c:pt idx="368">
                  <c:v>0.99324222872212786</c:v>
                </c:pt>
                <c:pt idx="369">
                  <c:v>1.0003052823264476</c:v>
                </c:pt>
                <c:pt idx="370">
                  <c:v>1.0013099046108946</c:v>
                </c:pt>
                <c:pt idx="371">
                  <c:v>0.98469462788909423</c:v>
                </c:pt>
                <c:pt idx="372">
                  <c:v>0.9816736500809371</c:v>
                </c:pt>
                <c:pt idx="373">
                  <c:v>0.98149334174872593</c:v>
                </c:pt>
                <c:pt idx="374">
                  <c:v>0.96532722842071395</c:v>
                </c:pt>
                <c:pt idx="375">
                  <c:v>0.93728436872844978</c:v>
                </c:pt>
                <c:pt idx="376">
                  <c:v>0.92691698634639863</c:v>
                </c:pt>
                <c:pt idx="377">
                  <c:v>0.93587549947759086</c:v>
                </c:pt>
                <c:pt idx="378">
                  <c:v>0.9196841610425226</c:v>
                </c:pt>
                <c:pt idx="379">
                  <c:v>0.92079582625470424</c:v>
                </c:pt>
                <c:pt idx="380">
                  <c:v>0.93993734928888339</c:v>
                </c:pt>
                <c:pt idx="381">
                  <c:v>0.91518549685439243</c:v>
                </c:pt>
                <c:pt idx="382">
                  <c:v>0.92777086162290012</c:v>
                </c:pt>
                <c:pt idx="383">
                  <c:v>0.92198947137271503</c:v>
                </c:pt>
                <c:pt idx="384">
                  <c:v>0.96377813634061704</c:v>
                </c:pt>
                <c:pt idx="385">
                  <c:v>0.96875917654968147</c:v>
                </c:pt>
                <c:pt idx="386">
                  <c:v>0.99360524084779378</c:v>
                </c:pt>
                <c:pt idx="387">
                  <c:v>0.99281782007961228</c:v>
                </c:pt>
                <c:pt idx="388">
                  <c:v>0.97670508404224976</c:v>
                </c:pt>
                <c:pt idx="389">
                  <c:v>0.96984713803713696</c:v>
                </c:pt>
                <c:pt idx="390">
                  <c:v>0.97599454871738289</c:v>
                </c:pt>
                <c:pt idx="391">
                  <c:v>0.97909600777966954</c:v>
                </c:pt>
                <c:pt idx="392">
                  <c:v>0.98494036523885242</c:v>
                </c:pt>
                <c:pt idx="393">
                  <c:v>0.97593473328172431</c:v>
                </c:pt>
                <c:pt idx="394">
                  <c:v>0.95543397068404934</c:v>
                </c:pt>
                <c:pt idx="395">
                  <c:v>0.98054525851925556</c:v>
                </c:pt>
                <c:pt idx="396">
                  <c:v>0.96901472146627166</c:v>
                </c:pt>
                <c:pt idx="397">
                  <c:v>0.96904205299661594</c:v>
                </c:pt>
                <c:pt idx="398">
                  <c:v>0.98795284008040873</c:v>
                </c:pt>
                <c:pt idx="399">
                  <c:v>0.991334224422455</c:v>
                </c:pt>
                <c:pt idx="400">
                  <c:v>0.99419946452313468</c:v>
                </c:pt>
                <c:pt idx="401">
                  <c:v>0.97303298725170428</c:v>
                </c:pt>
                <c:pt idx="402">
                  <c:v>0.99100305173734959</c:v>
                </c:pt>
                <c:pt idx="403">
                  <c:v>0.95357432698246125</c:v>
                </c:pt>
                <c:pt idx="404">
                  <c:v>0.99320683836094914</c:v>
                </c:pt>
                <c:pt idx="405">
                  <c:v>1.0103487224624805</c:v>
                </c:pt>
                <c:pt idx="406">
                  <c:v>1.0205872080282261</c:v>
                </c:pt>
                <c:pt idx="407">
                  <c:v>1.0369358618471405</c:v>
                </c:pt>
                <c:pt idx="408">
                  <c:v>1.0419856985923741</c:v>
                </c:pt>
                <c:pt idx="409">
                  <c:v>1.0454149147383491</c:v>
                </c:pt>
                <c:pt idx="410">
                  <c:v>1.0525590572761798</c:v>
                </c:pt>
                <c:pt idx="411">
                  <c:v>1.0467007349436748</c:v>
                </c:pt>
                <c:pt idx="412">
                  <c:v>1.066543867377781</c:v>
                </c:pt>
                <c:pt idx="413">
                  <c:v>1.0860331592804799</c:v>
                </c:pt>
                <c:pt idx="414">
                  <c:v>1.0697397865342211</c:v>
                </c:pt>
                <c:pt idx="415">
                  <c:v>1.0750140896073281</c:v>
                </c:pt>
                <c:pt idx="416">
                  <c:v>1.07249436733502</c:v>
                </c:pt>
                <c:pt idx="417">
                  <c:v>1.0648717652343946</c:v>
                </c:pt>
                <c:pt idx="418">
                  <c:v>1.0692068147899159</c:v>
                </c:pt>
                <c:pt idx="419">
                  <c:v>1.0634209438370634</c:v>
                </c:pt>
                <c:pt idx="420">
                  <c:v>1.0504193587934072</c:v>
                </c:pt>
                <c:pt idx="421">
                  <c:v>1.059190481789309</c:v>
                </c:pt>
                <c:pt idx="422">
                  <c:v>1.0543474540441906</c:v>
                </c:pt>
                <c:pt idx="423">
                  <c:v>1.0485912840831815</c:v>
                </c:pt>
                <c:pt idx="424">
                  <c:v>1.0607296669094399</c:v>
                </c:pt>
                <c:pt idx="425">
                  <c:v>1.071611654422163</c:v>
                </c:pt>
                <c:pt idx="426">
                  <c:v>1.0636177882413458</c:v>
                </c:pt>
                <c:pt idx="427">
                  <c:v>1.0721945147014891</c:v>
                </c:pt>
                <c:pt idx="428">
                  <c:v>1.0718085236799624</c:v>
                </c:pt>
                <c:pt idx="429">
                  <c:v>1.0688640922874661</c:v>
                </c:pt>
                <c:pt idx="430">
                  <c:v>1.0722591939988129</c:v>
                </c:pt>
                <c:pt idx="431">
                  <c:v>1.0643407671852927</c:v>
                </c:pt>
                <c:pt idx="432">
                  <c:v>1.0654651513886622</c:v>
                </c:pt>
                <c:pt idx="433">
                  <c:v>1.0617999370911386</c:v>
                </c:pt>
                <c:pt idx="434">
                  <c:v>1.0542118276097963</c:v>
                </c:pt>
                <c:pt idx="435">
                  <c:v>1.0105894267239468</c:v>
                </c:pt>
                <c:pt idx="436">
                  <c:v>0.9871534254864871</c:v>
                </c:pt>
                <c:pt idx="437">
                  <c:v>0.96679188054379717</c:v>
                </c:pt>
                <c:pt idx="438">
                  <c:v>0.99991394377446419</c:v>
                </c:pt>
                <c:pt idx="439">
                  <c:v>1.0300645060357105</c:v>
                </c:pt>
                <c:pt idx="440">
                  <c:v>1.0377230509056781</c:v>
                </c:pt>
                <c:pt idx="441">
                  <c:v>1.0237517972417729</c:v>
                </c:pt>
                <c:pt idx="442">
                  <c:v>1.0419785494727711</c:v>
                </c:pt>
                <c:pt idx="443">
                  <c:v>1.0791013542843051</c:v>
                </c:pt>
                <c:pt idx="444">
                  <c:v>1.0806793427788026</c:v>
                </c:pt>
                <c:pt idx="445">
                  <c:v>1.0788129365917225</c:v>
                </c:pt>
                <c:pt idx="446">
                  <c:v>1.0818857136072273</c:v>
                </c:pt>
                <c:pt idx="447">
                  <c:v>1.0905183187530101</c:v>
                </c:pt>
                <c:pt idx="448">
                  <c:v>1.0479101557859249</c:v>
                </c:pt>
                <c:pt idx="449">
                  <c:v>1.0491773992735638</c:v>
                </c:pt>
                <c:pt idx="450">
                  <c:v>1.0331143184407616</c:v>
                </c:pt>
                <c:pt idx="451">
                  <c:v>1.0384167812167284</c:v>
                </c:pt>
                <c:pt idx="452">
                  <c:v>1.0373191746481099</c:v>
                </c:pt>
                <c:pt idx="453">
                  <c:v>1.0550937663438198</c:v>
                </c:pt>
                <c:pt idx="454">
                  <c:v>1.065945484098175</c:v>
                </c:pt>
                <c:pt idx="455">
                  <c:v>1.0644368870880259</c:v>
                </c:pt>
                <c:pt idx="456">
                  <c:v>1.0411989013274696</c:v>
                </c:pt>
                <c:pt idx="457">
                  <c:v>1.0412374849582169</c:v>
                </c:pt>
                <c:pt idx="458">
                  <c:v>1.043614920608642</c:v>
                </c:pt>
                <c:pt idx="459">
                  <c:v>1.0708178246757907</c:v>
                </c:pt>
                <c:pt idx="460">
                  <c:v>1.0755649314518942</c:v>
                </c:pt>
                <c:pt idx="461">
                  <c:v>1.0622051233043983</c:v>
                </c:pt>
                <c:pt idx="462">
                  <c:v>1.0425243155368169</c:v>
                </c:pt>
                <c:pt idx="463">
                  <c:v>1.0462583379917705</c:v>
                </c:pt>
                <c:pt idx="464">
                  <c:v>1.0643046993207936</c:v>
                </c:pt>
                <c:pt idx="465">
                  <c:v>1.0686646247708884</c:v>
                </c:pt>
                <c:pt idx="466">
                  <c:v>1.0519413207428965</c:v>
                </c:pt>
                <c:pt idx="467">
                  <c:v>1.0811310715789428</c:v>
                </c:pt>
                <c:pt idx="468">
                  <c:v>1.0923295883923494</c:v>
                </c:pt>
                <c:pt idx="469">
                  <c:v>1.0878390497571693</c:v>
                </c:pt>
                <c:pt idx="470">
                  <c:v>1.0887195495142441</c:v>
                </c:pt>
                <c:pt idx="471">
                  <c:v>1.0844474454370086</c:v>
                </c:pt>
                <c:pt idx="472">
                  <c:v>1.0870449489168559</c:v>
                </c:pt>
                <c:pt idx="473">
                  <c:v>1.0905171415753898</c:v>
                </c:pt>
                <c:pt idx="474">
                  <c:v>1.076070673300241</c:v>
                </c:pt>
                <c:pt idx="475">
                  <c:v>1.0697193353193866</c:v>
                </c:pt>
                <c:pt idx="476">
                  <c:v>1.0768961808493933</c:v>
                </c:pt>
                <c:pt idx="477">
                  <c:v>1.0893415766551797</c:v>
                </c:pt>
                <c:pt idx="478">
                  <c:v>1.0673040075313747</c:v>
                </c:pt>
                <c:pt idx="479">
                  <c:v>1.0727587018249549</c:v>
                </c:pt>
                <c:pt idx="480">
                  <c:v>1.0585974802238338</c:v>
                </c:pt>
                <c:pt idx="481">
                  <c:v>1.078700047228756</c:v>
                </c:pt>
                <c:pt idx="482">
                  <c:v>1.0788295421252601</c:v>
                </c:pt>
                <c:pt idx="483">
                  <c:v>1.0788295421252601</c:v>
                </c:pt>
                <c:pt idx="484">
                  <c:v>1.0729710053069379</c:v>
                </c:pt>
                <c:pt idx="485">
                  <c:v>1.0838990437729099</c:v>
                </c:pt>
                <c:pt idx="486">
                  <c:v>1.0931554338578153</c:v>
                </c:pt>
                <c:pt idx="487">
                  <c:v>1.0726234015361253</c:v>
                </c:pt>
                <c:pt idx="488">
                  <c:v>1.0655840610442868</c:v>
                </c:pt>
                <c:pt idx="489">
                  <c:v>1.0638440788578354</c:v>
                </c:pt>
                <c:pt idx="490">
                  <c:v>1.0648911931821701</c:v>
                </c:pt>
                <c:pt idx="491">
                  <c:v>1.0640655025873169</c:v>
                </c:pt>
                <c:pt idx="492">
                  <c:v>1.0549088554790114</c:v>
                </c:pt>
                <c:pt idx="493">
                  <c:v>1.0711392441291103</c:v>
                </c:pt>
                <c:pt idx="494">
                  <c:v>1.0744554867202654</c:v>
                </c:pt>
                <c:pt idx="495">
                  <c:v>1.0732013154040394</c:v>
                </c:pt>
                <c:pt idx="496">
                  <c:v>1.0775661106447165</c:v>
                </c:pt>
                <c:pt idx="497">
                  <c:v>1.0753639182650563</c:v>
                </c:pt>
                <c:pt idx="498">
                  <c:v>1.0733069675400664</c:v>
                </c:pt>
                <c:pt idx="499">
                  <c:v>1.0769466586795877</c:v>
                </c:pt>
                <c:pt idx="500">
                  <c:v>1.0867980782648567</c:v>
                </c:pt>
                <c:pt idx="501">
                  <c:v>1.0751153067514707</c:v>
                </c:pt>
                <c:pt idx="502">
                  <c:v>1.0751153067514707</c:v>
                </c:pt>
                <c:pt idx="503">
                  <c:v>1.0657355937162807</c:v>
                </c:pt>
                <c:pt idx="504">
                  <c:v>1.0561297225534192</c:v>
                </c:pt>
                <c:pt idx="505">
                  <c:v>1.0727234619069819</c:v>
                </c:pt>
                <c:pt idx="506">
                  <c:v>1.0670885094209863</c:v>
                </c:pt>
                <c:pt idx="507">
                  <c:v>1.0613417879963096</c:v>
                </c:pt>
                <c:pt idx="508">
                  <c:v>1.0744727880356262</c:v>
                </c:pt>
                <c:pt idx="509">
                  <c:v>1.0827215749065147</c:v>
                </c:pt>
                <c:pt idx="510">
                  <c:v>1.0750941423117553</c:v>
                </c:pt>
                <c:pt idx="511">
                  <c:v>1.0745690200367499</c:v>
                </c:pt>
                <c:pt idx="512">
                  <c:v>1.0392582672262467</c:v>
                </c:pt>
                <c:pt idx="513">
                  <c:v>1.0403465397580502</c:v>
                </c:pt>
                <c:pt idx="514">
                  <c:v>1.0358688985819766</c:v>
                </c:pt>
                <c:pt idx="515">
                  <c:v>1.0447328085825736</c:v>
                </c:pt>
                <c:pt idx="516">
                  <c:v>1.0214401767299708</c:v>
                </c:pt>
                <c:pt idx="517">
                  <c:v>1.0284244987539775</c:v>
                </c:pt>
                <c:pt idx="518">
                  <c:v>1.0233822445881513</c:v>
                </c:pt>
                <c:pt idx="519">
                  <c:v>1.0181621421128568</c:v>
                </c:pt>
                <c:pt idx="520">
                  <c:v>1.0429095707460982</c:v>
                </c:pt>
                <c:pt idx="521">
                  <c:v>1.0445708416626931</c:v>
                </c:pt>
                <c:pt idx="522">
                  <c:v>1.0593452577153712</c:v>
                </c:pt>
                <c:pt idx="523">
                  <c:v>1.0547487048490192</c:v>
                </c:pt>
                <c:pt idx="524">
                  <c:v>1.0566139908360883</c:v>
                </c:pt>
                <c:pt idx="525">
                  <c:v>1.0662704697584329</c:v>
                </c:pt>
                <c:pt idx="526">
                  <c:v>1.0699834757408153</c:v>
                </c:pt>
                <c:pt idx="527">
                  <c:v>1.0632532752482922</c:v>
                </c:pt>
                <c:pt idx="528">
                  <c:v>1.0688140288642503</c:v>
                </c:pt>
                <c:pt idx="529">
                  <c:v>1.0679356437763214</c:v>
                </c:pt>
                <c:pt idx="530">
                  <c:v>1.0597607799327036</c:v>
                </c:pt>
                <c:pt idx="531">
                  <c:v>1.0568369732444634</c:v>
                </c:pt>
                <c:pt idx="532">
                  <c:v>1.0543748088688814</c:v>
                </c:pt>
                <c:pt idx="533">
                  <c:v>1.0452844670265646</c:v>
                </c:pt>
                <c:pt idx="534">
                  <c:v>1.0439481818351077</c:v>
                </c:pt>
                <c:pt idx="535">
                  <c:v>1.0457279989801291</c:v>
                </c:pt>
                <c:pt idx="536">
                  <c:v>1.0351841526214689</c:v>
                </c:pt>
                <c:pt idx="537">
                  <c:v>1.0138705730152893</c:v>
                </c:pt>
                <c:pt idx="538">
                  <c:v>1.0181148752808165</c:v>
                </c:pt>
                <c:pt idx="539">
                  <c:v>1.0090630525837909</c:v>
                </c:pt>
                <c:pt idx="540">
                  <c:v>1.0232884301517626</c:v>
                </c:pt>
                <c:pt idx="541">
                  <c:v>1.0376862678605718</c:v>
                </c:pt>
                <c:pt idx="542">
                  <c:v>1.0364621767810673</c:v>
                </c:pt>
                <c:pt idx="543">
                  <c:v>1.0409505446616376</c:v>
                </c:pt>
                <c:pt idx="544">
                  <c:v>1.0155378102325492</c:v>
                </c:pt>
                <c:pt idx="545">
                  <c:v>1.0059582806999581</c:v>
                </c:pt>
                <c:pt idx="546">
                  <c:v>1.0135001463522593</c:v>
                </c:pt>
                <c:pt idx="547">
                  <c:v>1.0140007647519642</c:v>
                </c:pt>
                <c:pt idx="548">
                  <c:v>1.0179515231618113</c:v>
                </c:pt>
                <c:pt idx="549">
                  <c:v>1.0237723276149229</c:v>
                </c:pt>
                <c:pt idx="550">
                  <c:v>1.0121497660923318</c:v>
                </c:pt>
                <c:pt idx="551">
                  <c:v>1.0055695001764771</c:v>
                </c:pt>
                <c:pt idx="552">
                  <c:v>1.0062406396708394</c:v>
                </c:pt>
                <c:pt idx="553">
                  <c:v>0.99623888245449632</c:v>
                </c:pt>
                <c:pt idx="554">
                  <c:v>0.98291073214154712</c:v>
                </c:pt>
                <c:pt idx="555">
                  <c:v>0.97332987383442826</c:v>
                </c:pt>
                <c:pt idx="556">
                  <c:v>0.96763246204521169</c:v>
                </c:pt>
                <c:pt idx="557">
                  <c:v>0.98148237273670835</c:v>
                </c:pt>
                <c:pt idx="558">
                  <c:v>0.96889708889405202</c:v>
                </c:pt>
                <c:pt idx="559">
                  <c:v>0.95567378107254175</c:v>
                </c:pt>
                <c:pt idx="560">
                  <c:v>0.98400883283792129</c:v>
                </c:pt>
                <c:pt idx="561">
                  <c:v>0.94936986123024392</c:v>
                </c:pt>
                <c:pt idx="562">
                  <c:v>0.95085829822109824</c:v>
                </c:pt>
                <c:pt idx="563">
                  <c:v>0.95597954743737779</c:v>
                </c:pt>
                <c:pt idx="564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3+4'!$O$2</c:f>
              <c:strCache>
                <c:ptCount val="1"/>
                <c:pt idx="0">
                  <c:v>DAX </c:v>
                </c:pt>
              </c:strCache>
            </c:strRef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3+4'!$L$3:$L$567</c:f>
              <c:numCache>
                <c:formatCode>m/d/yyyy</c:formatCode>
                <c:ptCount val="565"/>
                <c:pt idx="0">
                  <c:v>42824</c:v>
                </c:pt>
                <c:pt idx="1">
                  <c:v>42823</c:v>
                </c:pt>
                <c:pt idx="2">
                  <c:v>42822</c:v>
                </c:pt>
                <c:pt idx="3">
                  <c:v>42821</c:v>
                </c:pt>
                <c:pt idx="4">
                  <c:v>42818</c:v>
                </c:pt>
                <c:pt idx="5">
                  <c:v>42817</c:v>
                </c:pt>
                <c:pt idx="6">
                  <c:v>42816</c:v>
                </c:pt>
                <c:pt idx="7">
                  <c:v>42815</c:v>
                </c:pt>
                <c:pt idx="8">
                  <c:v>42814</c:v>
                </c:pt>
                <c:pt idx="9">
                  <c:v>42811</c:v>
                </c:pt>
                <c:pt idx="10">
                  <c:v>42810</c:v>
                </c:pt>
                <c:pt idx="11">
                  <c:v>42809</c:v>
                </c:pt>
                <c:pt idx="12">
                  <c:v>42808</c:v>
                </c:pt>
                <c:pt idx="13">
                  <c:v>42807</c:v>
                </c:pt>
                <c:pt idx="14">
                  <c:v>42804</c:v>
                </c:pt>
                <c:pt idx="15">
                  <c:v>42803</c:v>
                </c:pt>
                <c:pt idx="16">
                  <c:v>42802</c:v>
                </c:pt>
                <c:pt idx="17">
                  <c:v>42801</c:v>
                </c:pt>
                <c:pt idx="18">
                  <c:v>42800</c:v>
                </c:pt>
                <c:pt idx="19">
                  <c:v>42797</c:v>
                </c:pt>
                <c:pt idx="20">
                  <c:v>42796</c:v>
                </c:pt>
                <c:pt idx="21">
                  <c:v>42795</c:v>
                </c:pt>
                <c:pt idx="22">
                  <c:v>42794</c:v>
                </c:pt>
                <c:pt idx="23">
                  <c:v>42793</c:v>
                </c:pt>
                <c:pt idx="24">
                  <c:v>42790</c:v>
                </c:pt>
                <c:pt idx="25">
                  <c:v>42789</c:v>
                </c:pt>
                <c:pt idx="26">
                  <c:v>42788</c:v>
                </c:pt>
                <c:pt idx="27">
                  <c:v>42787</c:v>
                </c:pt>
                <c:pt idx="28">
                  <c:v>42783</c:v>
                </c:pt>
                <c:pt idx="29">
                  <c:v>42782</c:v>
                </c:pt>
                <c:pt idx="30">
                  <c:v>42781</c:v>
                </c:pt>
                <c:pt idx="31">
                  <c:v>42780</c:v>
                </c:pt>
                <c:pt idx="32">
                  <c:v>42779</c:v>
                </c:pt>
                <c:pt idx="33">
                  <c:v>42776</c:v>
                </c:pt>
                <c:pt idx="34">
                  <c:v>42775</c:v>
                </c:pt>
                <c:pt idx="35">
                  <c:v>42774</c:v>
                </c:pt>
                <c:pt idx="36">
                  <c:v>42773</c:v>
                </c:pt>
                <c:pt idx="37">
                  <c:v>42772</c:v>
                </c:pt>
                <c:pt idx="38">
                  <c:v>42769</c:v>
                </c:pt>
                <c:pt idx="39">
                  <c:v>42768</c:v>
                </c:pt>
                <c:pt idx="40">
                  <c:v>42767</c:v>
                </c:pt>
                <c:pt idx="41">
                  <c:v>42766</c:v>
                </c:pt>
                <c:pt idx="42">
                  <c:v>42765</c:v>
                </c:pt>
                <c:pt idx="43">
                  <c:v>42762</c:v>
                </c:pt>
                <c:pt idx="44">
                  <c:v>42761</c:v>
                </c:pt>
                <c:pt idx="45">
                  <c:v>42760</c:v>
                </c:pt>
                <c:pt idx="46">
                  <c:v>42759</c:v>
                </c:pt>
                <c:pt idx="47">
                  <c:v>42758</c:v>
                </c:pt>
                <c:pt idx="48">
                  <c:v>42755</c:v>
                </c:pt>
                <c:pt idx="49">
                  <c:v>42754</c:v>
                </c:pt>
                <c:pt idx="50">
                  <c:v>42753</c:v>
                </c:pt>
                <c:pt idx="51">
                  <c:v>42752</c:v>
                </c:pt>
                <c:pt idx="52">
                  <c:v>42748</c:v>
                </c:pt>
                <c:pt idx="53">
                  <c:v>42747</c:v>
                </c:pt>
                <c:pt idx="54">
                  <c:v>42746</c:v>
                </c:pt>
                <c:pt idx="55">
                  <c:v>42745</c:v>
                </c:pt>
                <c:pt idx="56">
                  <c:v>42744</c:v>
                </c:pt>
                <c:pt idx="57">
                  <c:v>42741</c:v>
                </c:pt>
                <c:pt idx="58">
                  <c:v>42740</c:v>
                </c:pt>
                <c:pt idx="59">
                  <c:v>42739</c:v>
                </c:pt>
                <c:pt idx="60">
                  <c:v>42738</c:v>
                </c:pt>
                <c:pt idx="61">
                  <c:v>42734</c:v>
                </c:pt>
                <c:pt idx="62">
                  <c:v>42733</c:v>
                </c:pt>
                <c:pt idx="63">
                  <c:v>42732</c:v>
                </c:pt>
                <c:pt idx="64">
                  <c:v>42731</c:v>
                </c:pt>
                <c:pt idx="65">
                  <c:v>42727</c:v>
                </c:pt>
                <c:pt idx="66">
                  <c:v>42726</c:v>
                </c:pt>
                <c:pt idx="67">
                  <c:v>42725</c:v>
                </c:pt>
                <c:pt idx="68">
                  <c:v>42724</c:v>
                </c:pt>
                <c:pt idx="69">
                  <c:v>42723</c:v>
                </c:pt>
                <c:pt idx="70">
                  <c:v>42720</c:v>
                </c:pt>
                <c:pt idx="71">
                  <c:v>42719</c:v>
                </c:pt>
                <c:pt idx="72">
                  <c:v>42718</c:v>
                </c:pt>
                <c:pt idx="73">
                  <c:v>42717</c:v>
                </c:pt>
                <c:pt idx="74">
                  <c:v>42716</c:v>
                </c:pt>
                <c:pt idx="75">
                  <c:v>42713</c:v>
                </c:pt>
                <c:pt idx="76">
                  <c:v>42712</c:v>
                </c:pt>
                <c:pt idx="77">
                  <c:v>42711</c:v>
                </c:pt>
                <c:pt idx="78">
                  <c:v>42710</c:v>
                </c:pt>
                <c:pt idx="79">
                  <c:v>42709</c:v>
                </c:pt>
                <c:pt idx="80">
                  <c:v>42706</c:v>
                </c:pt>
                <c:pt idx="81">
                  <c:v>42705</c:v>
                </c:pt>
                <c:pt idx="82">
                  <c:v>42704</c:v>
                </c:pt>
                <c:pt idx="83">
                  <c:v>42703</c:v>
                </c:pt>
                <c:pt idx="84">
                  <c:v>42702</c:v>
                </c:pt>
                <c:pt idx="85">
                  <c:v>42699</c:v>
                </c:pt>
                <c:pt idx="86">
                  <c:v>42697</c:v>
                </c:pt>
                <c:pt idx="87">
                  <c:v>42696</c:v>
                </c:pt>
                <c:pt idx="88">
                  <c:v>42695</c:v>
                </c:pt>
                <c:pt idx="89">
                  <c:v>42692</c:v>
                </c:pt>
                <c:pt idx="90">
                  <c:v>42691</c:v>
                </c:pt>
                <c:pt idx="91">
                  <c:v>42690</c:v>
                </c:pt>
                <c:pt idx="92">
                  <c:v>42689</c:v>
                </c:pt>
                <c:pt idx="93">
                  <c:v>42688</c:v>
                </c:pt>
                <c:pt idx="94">
                  <c:v>42685</c:v>
                </c:pt>
                <c:pt idx="95">
                  <c:v>42684</c:v>
                </c:pt>
                <c:pt idx="96">
                  <c:v>42683</c:v>
                </c:pt>
                <c:pt idx="97">
                  <c:v>42682</c:v>
                </c:pt>
                <c:pt idx="98">
                  <c:v>42681</c:v>
                </c:pt>
                <c:pt idx="99">
                  <c:v>42678</c:v>
                </c:pt>
                <c:pt idx="100">
                  <c:v>42677</c:v>
                </c:pt>
                <c:pt idx="101">
                  <c:v>42676</c:v>
                </c:pt>
                <c:pt idx="102">
                  <c:v>42675</c:v>
                </c:pt>
                <c:pt idx="103">
                  <c:v>42674</c:v>
                </c:pt>
                <c:pt idx="104">
                  <c:v>42671</c:v>
                </c:pt>
                <c:pt idx="105">
                  <c:v>42670</c:v>
                </c:pt>
                <c:pt idx="106">
                  <c:v>42669</c:v>
                </c:pt>
                <c:pt idx="107">
                  <c:v>42668</c:v>
                </c:pt>
                <c:pt idx="108">
                  <c:v>42667</c:v>
                </c:pt>
                <c:pt idx="109">
                  <c:v>42664</c:v>
                </c:pt>
                <c:pt idx="110">
                  <c:v>42663</c:v>
                </c:pt>
                <c:pt idx="111">
                  <c:v>42662</c:v>
                </c:pt>
                <c:pt idx="112">
                  <c:v>42661</c:v>
                </c:pt>
                <c:pt idx="113">
                  <c:v>42660</c:v>
                </c:pt>
                <c:pt idx="114">
                  <c:v>42657</c:v>
                </c:pt>
                <c:pt idx="115">
                  <c:v>42656</c:v>
                </c:pt>
                <c:pt idx="116">
                  <c:v>42655</c:v>
                </c:pt>
                <c:pt idx="117">
                  <c:v>42654</c:v>
                </c:pt>
                <c:pt idx="118">
                  <c:v>42653</c:v>
                </c:pt>
                <c:pt idx="119">
                  <c:v>42650</c:v>
                </c:pt>
                <c:pt idx="120">
                  <c:v>42649</c:v>
                </c:pt>
                <c:pt idx="121">
                  <c:v>42648</c:v>
                </c:pt>
                <c:pt idx="122">
                  <c:v>42647</c:v>
                </c:pt>
                <c:pt idx="123">
                  <c:v>42646</c:v>
                </c:pt>
                <c:pt idx="124">
                  <c:v>42643</c:v>
                </c:pt>
                <c:pt idx="125">
                  <c:v>42642</c:v>
                </c:pt>
                <c:pt idx="126">
                  <c:v>42641</c:v>
                </c:pt>
                <c:pt idx="127">
                  <c:v>42640</c:v>
                </c:pt>
                <c:pt idx="128">
                  <c:v>42639</c:v>
                </c:pt>
                <c:pt idx="129">
                  <c:v>42636</c:v>
                </c:pt>
                <c:pt idx="130">
                  <c:v>42635</c:v>
                </c:pt>
                <c:pt idx="131">
                  <c:v>42634</c:v>
                </c:pt>
                <c:pt idx="132">
                  <c:v>42633</c:v>
                </c:pt>
                <c:pt idx="133">
                  <c:v>42632</c:v>
                </c:pt>
                <c:pt idx="134">
                  <c:v>42629</c:v>
                </c:pt>
                <c:pt idx="135">
                  <c:v>42628</c:v>
                </c:pt>
                <c:pt idx="136">
                  <c:v>42627</c:v>
                </c:pt>
                <c:pt idx="137">
                  <c:v>42626</c:v>
                </c:pt>
                <c:pt idx="138">
                  <c:v>42625</c:v>
                </c:pt>
                <c:pt idx="139">
                  <c:v>42622</c:v>
                </c:pt>
                <c:pt idx="140">
                  <c:v>42621</c:v>
                </c:pt>
                <c:pt idx="141">
                  <c:v>42620</c:v>
                </c:pt>
                <c:pt idx="142">
                  <c:v>42619</c:v>
                </c:pt>
                <c:pt idx="143">
                  <c:v>42615</c:v>
                </c:pt>
                <c:pt idx="144">
                  <c:v>42614</c:v>
                </c:pt>
                <c:pt idx="145">
                  <c:v>42613</c:v>
                </c:pt>
                <c:pt idx="146">
                  <c:v>42612</c:v>
                </c:pt>
                <c:pt idx="147">
                  <c:v>42611</c:v>
                </c:pt>
                <c:pt idx="148">
                  <c:v>42608</c:v>
                </c:pt>
                <c:pt idx="149">
                  <c:v>42607</c:v>
                </c:pt>
                <c:pt idx="150">
                  <c:v>42606</c:v>
                </c:pt>
                <c:pt idx="151">
                  <c:v>42605</c:v>
                </c:pt>
                <c:pt idx="152">
                  <c:v>42604</c:v>
                </c:pt>
                <c:pt idx="153">
                  <c:v>42601</c:v>
                </c:pt>
                <c:pt idx="154">
                  <c:v>42600</c:v>
                </c:pt>
                <c:pt idx="155">
                  <c:v>42599</c:v>
                </c:pt>
                <c:pt idx="156">
                  <c:v>42598</c:v>
                </c:pt>
                <c:pt idx="157">
                  <c:v>42597</c:v>
                </c:pt>
                <c:pt idx="158">
                  <c:v>42594</c:v>
                </c:pt>
                <c:pt idx="159">
                  <c:v>42593</c:v>
                </c:pt>
                <c:pt idx="160">
                  <c:v>42592</c:v>
                </c:pt>
                <c:pt idx="161">
                  <c:v>42591</c:v>
                </c:pt>
                <c:pt idx="162">
                  <c:v>42590</c:v>
                </c:pt>
                <c:pt idx="163">
                  <c:v>42587</c:v>
                </c:pt>
                <c:pt idx="164">
                  <c:v>42586</c:v>
                </c:pt>
                <c:pt idx="165">
                  <c:v>42585</c:v>
                </c:pt>
                <c:pt idx="166">
                  <c:v>42584</c:v>
                </c:pt>
                <c:pt idx="167">
                  <c:v>42583</c:v>
                </c:pt>
                <c:pt idx="168">
                  <c:v>42580</c:v>
                </c:pt>
                <c:pt idx="169">
                  <c:v>42579</c:v>
                </c:pt>
                <c:pt idx="170">
                  <c:v>42578</c:v>
                </c:pt>
                <c:pt idx="171">
                  <c:v>42577</c:v>
                </c:pt>
                <c:pt idx="172">
                  <c:v>42576</c:v>
                </c:pt>
                <c:pt idx="173">
                  <c:v>42573</c:v>
                </c:pt>
                <c:pt idx="174">
                  <c:v>42572</c:v>
                </c:pt>
                <c:pt idx="175">
                  <c:v>42571</c:v>
                </c:pt>
                <c:pt idx="176">
                  <c:v>42570</c:v>
                </c:pt>
                <c:pt idx="177">
                  <c:v>42569</c:v>
                </c:pt>
                <c:pt idx="178">
                  <c:v>42566</c:v>
                </c:pt>
                <c:pt idx="179">
                  <c:v>42565</c:v>
                </c:pt>
                <c:pt idx="180">
                  <c:v>42564</c:v>
                </c:pt>
                <c:pt idx="181">
                  <c:v>42563</c:v>
                </c:pt>
                <c:pt idx="182">
                  <c:v>42562</c:v>
                </c:pt>
                <c:pt idx="183">
                  <c:v>42559</c:v>
                </c:pt>
                <c:pt idx="184">
                  <c:v>42558</c:v>
                </c:pt>
                <c:pt idx="185">
                  <c:v>42557</c:v>
                </c:pt>
                <c:pt idx="186">
                  <c:v>42556</c:v>
                </c:pt>
                <c:pt idx="187">
                  <c:v>42552</c:v>
                </c:pt>
                <c:pt idx="188">
                  <c:v>42551</c:v>
                </c:pt>
                <c:pt idx="189">
                  <c:v>42550</c:v>
                </c:pt>
                <c:pt idx="190">
                  <c:v>42549</c:v>
                </c:pt>
                <c:pt idx="191">
                  <c:v>42548</c:v>
                </c:pt>
                <c:pt idx="192">
                  <c:v>42545</c:v>
                </c:pt>
                <c:pt idx="193">
                  <c:v>42544</c:v>
                </c:pt>
                <c:pt idx="194">
                  <c:v>42543</c:v>
                </c:pt>
                <c:pt idx="195">
                  <c:v>42542</c:v>
                </c:pt>
                <c:pt idx="196">
                  <c:v>42541</c:v>
                </c:pt>
                <c:pt idx="197">
                  <c:v>42538</c:v>
                </c:pt>
                <c:pt idx="198">
                  <c:v>42537</c:v>
                </c:pt>
                <c:pt idx="199">
                  <c:v>42536</c:v>
                </c:pt>
                <c:pt idx="200">
                  <c:v>42535</c:v>
                </c:pt>
                <c:pt idx="201">
                  <c:v>42534</c:v>
                </c:pt>
                <c:pt idx="202">
                  <c:v>42531</c:v>
                </c:pt>
                <c:pt idx="203">
                  <c:v>42530</c:v>
                </c:pt>
                <c:pt idx="204">
                  <c:v>42529</c:v>
                </c:pt>
                <c:pt idx="205">
                  <c:v>42528</c:v>
                </c:pt>
                <c:pt idx="206">
                  <c:v>42527</c:v>
                </c:pt>
                <c:pt idx="207">
                  <c:v>42524</c:v>
                </c:pt>
                <c:pt idx="208">
                  <c:v>42523</c:v>
                </c:pt>
                <c:pt idx="209">
                  <c:v>42522</c:v>
                </c:pt>
                <c:pt idx="210">
                  <c:v>42521</c:v>
                </c:pt>
                <c:pt idx="211">
                  <c:v>42517</c:v>
                </c:pt>
                <c:pt idx="212">
                  <c:v>42516</c:v>
                </c:pt>
                <c:pt idx="213">
                  <c:v>42515</c:v>
                </c:pt>
                <c:pt idx="214">
                  <c:v>42514</c:v>
                </c:pt>
                <c:pt idx="215">
                  <c:v>42513</c:v>
                </c:pt>
                <c:pt idx="216">
                  <c:v>42510</c:v>
                </c:pt>
                <c:pt idx="217">
                  <c:v>42509</c:v>
                </c:pt>
                <c:pt idx="218">
                  <c:v>42508</c:v>
                </c:pt>
                <c:pt idx="219">
                  <c:v>42507</c:v>
                </c:pt>
                <c:pt idx="220">
                  <c:v>42506</c:v>
                </c:pt>
                <c:pt idx="221">
                  <c:v>42503</c:v>
                </c:pt>
                <c:pt idx="222">
                  <c:v>42502</c:v>
                </c:pt>
                <c:pt idx="223">
                  <c:v>42501</c:v>
                </c:pt>
                <c:pt idx="224">
                  <c:v>42500</c:v>
                </c:pt>
                <c:pt idx="225">
                  <c:v>42499</c:v>
                </c:pt>
                <c:pt idx="226">
                  <c:v>42496</c:v>
                </c:pt>
                <c:pt idx="227">
                  <c:v>42495</c:v>
                </c:pt>
                <c:pt idx="228">
                  <c:v>42494</c:v>
                </c:pt>
                <c:pt idx="229">
                  <c:v>42493</c:v>
                </c:pt>
                <c:pt idx="230">
                  <c:v>42492</c:v>
                </c:pt>
                <c:pt idx="231">
                  <c:v>42489</c:v>
                </c:pt>
                <c:pt idx="232">
                  <c:v>42488</c:v>
                </c:pt>
                <c:pt idx="233">
                  <c:v>42487</c:v>
                </c:pt>
                <c:pt idx="234">
                  <c:v>42486</c:v>
                </c:pt>
                <c:pt idx="235">
                  <c:v>42485</c:v>
                </c:pt>
                <c:pt idx="236">
                  <c:v>42482</c:v>
                </c:pt>
                <c:pt idx="237">
                  <c:v>42481</c:v>
                </c:pt>
                <c:pt idx="238">
                  <c:v>42480</c:v>
                </c:pt>
                <c:pt idx="239">
                  <c:v>42479</c:v>
                </c:pt>
                <c:pt idx="240">
                  <c:v>42478</c:v>
                </c:pt>
                <c:pt idx="241">
                  <c:v>42475</c:v>
                </c:pt>
                <c:pt idx="242">
                  <c:v>42474</c:v>
                </c:pt>
                <c:pt idx="243">
                  <c:v>42473</c:v>
                </c:pt>
                <c:pt idx="244">
                  <c:v>42472</c:v>
                </c:pt>
                <c:pt idx="245">
                  <c:v>42471</c:v>
                </c:pt>
                <c:pt idx="246">
                  <c:v>42468</c:v>
                </c:pt>
                <c:pt idx="247">
                  <c:v>42467</c:v>
                </c:pt>
                <c:pt idx="248">
                  <c:v>42466</c:v>
                </c:pt>
                <c:pt idx="249">
                  <c:v>42465</c:v>
                </c:pt>
                <c:pt idx="250">
                  <c:v>42464</c:v>
                </c:pt>
                <c:pt idx="251">
                  <c:v>42461</c:v>
                </c:pt>
                <c:pt idx="252">
                  <c:v>42460</c:v>
                </c:pt>
                <c:pt idx="253">
                  <c:v>42459</c:v>
                </c:pt>
                <c:pt idx="254">
                  <c:v>42458</c:v>
                </c:pt>
                <c:pt idx="255">
                  <c:v>42457</c:v>
                </c:pt>
                <c:pt idx="256">
                  <c:v>42453</c:v>
                </c:pt>
                <c:pt idx="257">
                  <c:v>42452</c:v>
                </c:pt>
                <c:pt idx="258">
                  <c:v>42451</c:v>
                </c:pt>
                <c:pt idx="259">
                  <c:v>42450</c:v>
                </c:pt>
                <c:pt idx="260">
                  <c:v>42447</c:v>
                </c:pt>
                <c:pt idx="261">
                  <c:v>42446</c:v>
                </c:pt>
                <c:pt idx="262">
                  <c:v>42445</c:v>
                </c:pt>
                <c:pt idx="263">
                  <c:v>42444</c:v>
                </c:pt>
                <c:pt idx="264">
                  <c:v>42443</c:v>
                </c:pt>
                <c:pt idx="265">
                  <c:v>42440</c:v>
                </c:pt>
                <c:pt idx="266">
                  <c:v>42439</c:v>
                </c:pt>
                <c:pt idx="267">
                  <c:v>42438</c:v>
                </c:pt>
                <c:pt idx="268">
                  <c:v>42437</c:v>
                </c:pt>
                <c:pt idx="269">
                  <c:v>42436</c:v>
                </c:pt>
                <c:pt idx="270">
                  <c:v>42433</c:v>
                </c:pt>
                <c:pt idx="271">
                  <c:v>42432</c:v>
                </c:pt>
                <c:pt idx="272">
                  <c:v>42431</c:v>
                </c:pt>
                <c:pt idx="273">
                  <c:v>42430</c:v>
                </c:pt>
                <c:pt idx="274">
                  <c:v>42429</c:v>
                </c:pt>
                <c:pt idx="275">
                  <c:v>42426</c:v>
                </c:pt>
                <c:pt idx="276">
                  <c:v>42425</c:v>
                </c:pt>
                <c:pt idx="277">
                  <c:v>42424</c:v>
                </c:pt>
                <c:pt idx="278">
                  <c:v>42423</c:v>
                </c:pt>
                <c:pt idx="279">
                  <c:v>42422</c:v>
                </c:pt>
                <c:pt idx="280">
                  <c:v>42419</c:v>
                </c:pt>
                <c:pt idx="281">
                  <c:v>42418</c:v>
                </c:pt>
                <c:pt idx="282">
                  <c:v>42417</c:v>
                </c:pt>
                <c:pt idx="283">
                  <c:v>42416</c:v>
                </c:pt>
                <c:pt idx="284">
                  <c:v>42412</c:v>
                </c:pt>
                <c:pt idx="285">
                  <c:v>42411</c:v>
                </c:pt>
                <c:pt idx="286">
                  <c:v>42410</c:v>
                </c:pt>
                <c:pt idx="287">
                  <c:v>42409</c:v>
                </c:pt>
                <c:pt idx="288">
                  <c:v>42408</c:v>
                </c:pt>
                <c:pt idx="289">
                  <c:v>42405</c:v>
                </c:pt>
                <c:pt idx="290">
                  <c:v>42404</c:v>
                </c:pt>
                <c:pt idx="291">
                  <c:v>42403</c:v>
                </c:pt>
                <c:pt idx="292">
                  <c:v>42402</c:v>
                </c:pt>
                <c:pt idx="293">
                  <c:v>42401</c:v>
                </c:pt>
                <c:pt idx="294">
                  <c:v>42398</c:v>
                </c:pt>
                <c:pt idx="295">
                  <c:v>42397</c:v>
                </c:pt>
                <c:pt idx="296">
                  <c:v>42396</c:v>
                </c:pt>
                <c:pt idx="297">
                  <c:v>42395</c:v>
                </c:pt>
                <c:pt idx="298">
                  <c:v>42394</c:v>
                </c:pt>
                <c:pt idx="299">
                  <c:v>42391</c:v>
                </c:pt>
                <c:pt idx="300">
                  <c:v>42390</c:v>
                </c:pt>
                <c:pt idx="301">
                  <c:v>42389</c:v>
                </c:pt>
                <c:pt idx="302">
                  <c:v>42388</c:v>
                </c:pt>
                <c:pt idx="303">
                  <c:v>42384</c:v>
                </c:pt>
                <c:pt idx="304">
                  <c:v>42383</c:v>
                </c:pt>
                <c:pt idx="305">
                  <c:v>42382</c:v>
                </c:pt>
                <c:pt idx="306">
                  <c:v>42381</c:v>
                </c:pt>
                <c:pt idx="307">
                  <c:v>42380</c:v>
                </c:pt>
                <c:pt idx="308">
                  <c:v>42377</c:v>
                </c:pt>
                <c:pt idx="309">
                  <c:v>42376</c:v>
                </c:pt>
                <c:pt idx="310">
                  <c:v>42375</c:v>
                </c:pt>
                <c:pt idx="311">
                  <c:v>42374</c:v>
                </c:pt>
                <c:pt idx="312">
                  <c:v>42373</c:v>
                </c:pt>
                <c:pt idx="313">
                  <c:v>42369</c:v>
                </c:pt>
                <c:pt idx="314">
                  <c:v>42368</c:v>
                </c:pt>
                <c:pt idx="315">
                  <c:v>42367</c:v>
                </c:pt>
                <c:pt idx="316">
                  <c:v>42366</c:v>
                </c:pt>
                <c:pt idx="317">
                  <c:v>42362</c:v>
                </c:pt>
                <c:pt idx="318">
                  <c:v>42361</c:v>
                </c:pt>
                <c:pt idx="319">
                  <c:v>42360</c:v>
                </c:pt>
                <c:pt idx="320">
                  <c:v>42359</c:v>
                </c:pt>
                <c:pt idx="321">
                  <c:v>42356</c:v>
                </c:pt>
                <c:pt idx="322">
                  <c:v>42355</c:v>
                </c:pt>
                <c:pt idx="323">
                  <c:v>42354</c:v>
                </c:pt>
                <c:pt idx="324">
                  <c:v>42353</c:v>
                </c:pt>
                <c:pt idx="325">
                  <c:v>42352</c:v>
                </c:pt>
                <c:pt idx="326">
                  <c:v>42349</c:v>
                </c:pt>
                <c:pt idx="327">
                  <c:v>42348</c:v>
                </c:pt>
                <c:pt idx="328">
                  <c:v>42347</c:v>
                </c:pt>
                <c:pt idx="329">
                  <c:v>42346</c:v>
                </c:pt>
                <c:pt idx="330">
                  <c:v>42345</c:v>
                </c:pt>
                <c:pt idx="331">
                  <c:v>42342</c:v>
                </c:pt>
                <c:pt idx="332">
                  <c:v>42341</c:v>
                </c:pt>
                <c:pt idx="333">
                  <c:v>42340</c:v>
                </c:pt>
                <c:pt idx="334">
                  <c:v>42339</c:v>
                </c:pt>
                <c:pt idx="335">
                  <c:v>42338</c:v>
                </c:pt>
                <c:pt idx="336">
                  <c:v>42335</c:v>
                </c:pt>
                <c:pt idx="337">
                  <c:v>42333</c:v>
                </c:pt>
                <c:pt idx="338">
                  <c:v>42332</c:v>
                </c:pt>
                <c:pt idx="339">
                  <c:v>42331</c:v>
                </c:pt>
                <c:pt idx="340">
                  <c:v>42328</c:v>
                </c:pt>
                <c:pt idx="341">
                  <c:v>42327</c:v>
                </c:pt>
                <c:pt idx="342">
                  <c:v>42326</c:v>
                </c:pt>
                <c:pt idx="343">
                  <c:v>42325</c:v>
                </c:pt>
                <c:pt idx="344">
                  <c:v>42324</c:v>
                </c:pt>
                <c:pt idx="345">
                  <c:v>42321</c:v>
                </c:pt>
                <c:pt idx="346">
                  <c:v>42320</c:v>
                </c:pt>
                <c:pt idx="347">
                  <c:v>42319</c:v>
                </c:pt>
                <c:pt idx="348">
                  <c:v>42318</c:v>
                </c:pt>
                <c:pt idx="349">
                  <c:v>42317</c:v>
                </c:pt>
                <c:pt idx="350">
                  <c:v>42314</c:v>
                </c:pt>
                <c:pt idx="351">
                  <c:v>42313</c:v>
                </c:pt>
                <c:pt idx="352">
                  <c:v>42312</c:v>
                </c:pt>
                <c:pt idx="353">
                  <c:v>42311</c:v>
                </c:pt>
                <c:pt idx="354">
                  <c:v>42310</c:v>
                </c:pt>
                <c:pt idx="355">
                  <c:v>42307</c:v>
                </c:pt>
                <c:pt idx="356">
                  <c:v>42306</c:v>
                </c:pt>
                <c:pt idx="357">
                  <c:v>42305</c:v>
                </c:pt>
                <c:pt idx="358">
                  <c:v>42304</c:v>
                </c:pt>
                <c:pt idx="359">
                  <c:v>42303</c:v>
                </c:pt>
                <c:pt idx="360">
                  <c:v>42300</c:v>
                </c:pt>
                <c:pt idx="361">
                  <c:v>42299</c:v>
                </c:pt>
                <c:pt idx="362">
                  <c:v>42298</c:v>
                </c:pt>
                <c:pt idx="363">
                  <c:v>42297</c:v>
                </c:pt>
                <c:pt idx="364">
                  <c:v>42296</c:v>
                </c:pt>
                <c:pt idx="365">
                  <c:v>42293</c:v>
                </c:pt>
                <c:pt idx="366">
                  <c:v>42292</c:v>
                </c:pt>
                <c:pt idx="367">
                  <c:v>42291</c:v>
                </c:pt>
                <c:pt idx="368">
                  <c:v>42290</c:v>
                </c:pt>
                <c:pt idx="369">
                  <c:v>42289</c:v>
                </c:pt>
                <c:pt idx="370">
                  <c:v>42286</c:v>
                </c:pt>
                <c:pt idx="371">
                  <c:v>42285</c:v>
                </c:pt>
                <c:pt idx="372">
                  <c:v>42284</c:v>
                </c:pt>
                <c:pt idx="373">
                  <c:v>42283</c:v>
                </c:pt>
                <c:pt idx="374">
                  <c:v>42282</c:v>
                </c:pt>
                <c:pt idx="375">
                  <c:v>42279</c:v>
                </c:pt>
                <c:pt idx="376">
                  <c:v>42278</c:v>
                </c:pt>
                <c:pt idx="377">
                  <c:v>42277</c:v>
                </c:pt>
                <c:pt idx="378">
                  <c:v>42276</c:v>
                </c:pt>
                <c:pt idx="379">
                  <c:v>42275</c:v>
                </c:pt>
                <c:pt idx="380">
                  <c:v>42272</c:v>
                </c:pt>
                <c:pt idx="381">
                  <c:v>42271</c:v>
                </c:pt>
                <c:pt idx="382">
                  <c:v>42270</c:v>
                </c:pt>
                <c:pt idx="383">
                  <c:v>42269</c:v>
                </c:pt>
                <c:pt idx="384">
                  <c:v>42268</c:v>
                </c:pt>
                <c:pt idx="385">
                  <c:v>42265</c:v>
                </c:pt>
                <c:pt idx="386">
                  <c:v>42264</c:v>
                </c:pt>
                <c:pt idx="387">
                  <c:v>42263</c:v>
                </c:pt>
                <c:pt idx="388">
                  <c:v>42262</c:v>
                </c:pt>
                <c:pt idx="389">
                  <c:v>42261</c:v>
                </c:pt>
                <c:pt idx="390">
                  <c:v>42258</c:v>
                </c:pt>
                <c:pt idx="391">
                  <c:v>42257</c:v>
                </c:pt>
                <c:pt idx="392">
                  <c:v>42256</c:v>
                </c:pt>
                <c:pt idx="393">
                  <c:v>42255</c:v>
                </c:pt>
                <c:pt idx="394">
                  <c:v>42251</c:v>
                </c:pt>
                <c:pt idx="395">
                  <c:v>42250</c:v>
                </c:pt>
                <c:pt idx="396">
                  <c:v>42249</c:v>
                </c:pt>
                <c:pt idx="397">
                  <c:v>42248</c:v>
                </c:pt>
                <c:pt idx="398">
                  <c:v>42247</c:v>
                </c:pt>
                <c:pt idx="399">
                  <c:v>42244</c:v>
                </c:pt>
                <c:pt idx="400">
                  <c:v>42243</c:v>
                </c:pt>
                <c:pt idx="401">
                  <c:v>42242</c:v>
                </c:pt>
                <c:pt idx="402">
                  <c:v>42241</c:v>
                </c:pt>
                <c:pt idx="403">
                  <c:v>42240</c:v>
                </c:pt>
                <c:pt idx="404">
                  <c:v>42237</c:v>
                </c:pt>
                <c:pt idx="405">
                  <c:v>42236</c:v>
                </c:pt>
                <c:pt idx="406">
                  <c:v>42235</c:v>
                </c:pt>
                <c:pt idx="407">
                  <c:v>42234</c:v>
                </c:pt>
                <c:pt idx="408">
                  <c:v>42233</c:v>
                </c:pt>
                <c:pt idx="409">
                  <c:v>42230</c:v>
                </c:pt>
                <c:pt idx="410">
                  <c:v>42229</c:v>
                </c:pt>
                <c:pt idx="411">
                  <c:v>42228</c:v>
                </c:pt>
                <c:pt idx="412">
                  <c:v>42227</c:v>
                </c:pt>
                <c:pt idx="413">
                  <c:v>42226</c:v>
                </c:pt>
                <c:pt idx="414">
                  <c:v>42223</c:v>
                </c:pt>
                <c:pt idx="415">
                  <c:v>42222</c:v>
                </c:pt>
                <c:pt idx="416">
                  <c:v>42221</c:v>
                </c:pt>
                <c:pt idx="417">
                  <c:v>42220</c:v>
                </c:pt>
                <c:pt idx="418">
                  <c:v>42219</c:v>
                </c:pt>
                <c:pt idx="419">
                  <c:v>42216</c:v>
                </c:pt>
                <c:pt idx="420">
                  <c:v>42215</c:v>
                </c:pt>
                <c:pt idx="421">
                  <c:v>42214</c:v>
                </c:pt>
                <c:pt idx="422">
                  <c:v>42213</c:v>
                </c:pt>
                <c:pt idx="423">
                  <c:v>42212</c:v>
                </c:pt>
                <c:pt idx="424">
                  <c:v>42209</c:v>
                </c:pt>
                <c:pt idx="425">
                  <c:v>42208</c:v>
                </c:pt>
                <c:pt idx="426">
                  <c:v>42207</c:v>
                </c:pt>
                <c:pt idx="427">
                  <c:v>42206</c:v>
                </c:pt>
                <c:pt idx="428">
                  <c:v>42205</c:v>
                </c:pt>
                <c:pt idx="429">
                  <c:v>42202</c:v>
                </c:pt>
                <c:pt idx="430">
                  <c:v>42201</c:v>
                </c:pt>
                <c:pt idx="431">
                  <c:v>42200</c:v>
                </c:pt>
                <c:pt idx="432">
                  <c:v>42199</c:v>
                </c:pt>
                <c:pt idx="433">
                  <c:v>42198</c:v>
                </c:pt>
                <c:pt idx="434">
                  <c:v>42195</c:v>
                </c:pt>
                <c:pt idx="435">
                  <c:v>42194</c:v>
                </c:pt>
                <c:pt idx="436">
                  <c:v>42193</c:v>
                </c:pt>
                <c:pt idx="437">
                  <c:v>42192</c:v>
                </c:pt>
                <c:pt idx="438">
                  <c:v>42191</c:v>
                </c:pt>
                <c:pt idx="439">
                  <c:v>42187</c:v>
                </c:pt>
                <c:pt idx="440">
                  <c:v>42186</c:v>
                </c:pt>
                <c:pt idx="441">
                  <c:v>42185</c:v>
                </c:pt>
                <c:pt idx="442">
                  <c:v>42184</c:v>
                </c:pt>
                <c:pt idx="443">
                  <c:v>42181</c:v>
                </c:pt>
                <c:pt idx="444">
                  <c:v>42180</c:v>
                </c:pt>
                <c:pt idx="445">
                  <c:v>42179</c:v>
                </c:pt>
                <c:pt idx="446">
                  <c:v>42178</c:v>
                </c:pt>
                <c:pt idx="447">
                  <c:v>42177</c:v>
                </c:pt>
                <c:pt idx="448">
                  <c:v>42174</c:v>
                </c:pt>
                <c:pt idx="449">
                  <c:v>42173</c:v>
                </c:pt>
                <c:pt idx="450">
                  <c:v>42172</c:v>
                </c:pt>
                <c:pt idx="451">
                  <c:v>42171</c:v>
                </c:pt>
                <c:pt idx="452">
                  <c:v>42170</c:v>
                </c:pt>
                <c:pt idx="453">
                  <c:v>42167</c:v>
                </c:pt>
                <c:pt idx="454">
                  <c:v>42166</c:v>
                </c:pt>
                <c:pt idx="455">
                  <c:v>42165</c:v>
                </c:pt>
                <c:pt idx="456">
                  <c:v>42164</c:v>
                </c:pt>
                <c:pt idx="457">
                  <c:v>42163</c:v>
                </c:pt>
                <c:pt idx="458">
                  <c:v>42160</c:v>
                </c:pt>
                <c:pt idx="459">
                  <c:v>42159</c:v>
                </c:pt>
                <c:pt idx="460">
                  <c:v>42158</c:v>
                </c:pt>
                <c:pt idx="461">
                  <c:v>42157</c:v>
                </c:pt>
                <c:pt idx="462">
                  <c:v>42156</c:v>
                </c:pt>
                <c:pt idx="463">
                  <c:v>42153</c:v>
                </c:pt>
                <c:pt idx="464">
                  <c:v>42152</c:v>
                </c:pt>
                <c:pt idx="465">
                  <c:v>42151</c:v>
                </c:pt>
                <c:pt idx="466">
                  <c:v>42150</c:v>
                </c:pt>
                <c:pt idx="467">
                  <c:v>42146</c:v>
                </c:pt>
                <c:pt idx="468">
                  <c:v>42145</c:v>
                </c:pt>
                <c:pt idx="469">
                  <c:v>42144</c:v>
                </c:pt>
                <c:pt idx="470">
                  <c:v>42143</c:v>
                </c:pt>
                <c:pt idx="471">
                  <c:v>42142</c:v>
                </c:pt>
                <c:pt idx="472">
                  <c:v>42139</c:v>
                </c:pt>
                <c:pt idx="473">
                  <c:v>42138</c:v>
                </c:pt>
                <c:pt idx="474">
                  <c:v>42137</c:v>
                </c:pt>
                <c:pt idx="475">
                  <c:v>42136</c:v>
                </c:pt>
                <c:pt idx="476">
                  <c:v>42135</c:v>
                </c:pt>
                <c:pt idx="477">
                  <c:v>42132</c:v>
                </c:pt>
                <c:pt idx="478">
                  <c:v>42131</c:v>
                </c:pt>
                <c:pt idx="479">
                  <c:v>42130</c:v>
                </c:pt>
                <c:pt idx="480">
                  <c:v>42129</c:v>
                </c:pt>
                <c:pt idx="481">
                  <c:v>42128</c:v>
                </c:pt>
                <c:pt idx="482">
                  <c:v>42125</c:v>
                </c:pt>
                <c:pt idx="483">
                  <c:v>42124</c:v>
                </c:pt>
                <c:pt idx="484">
                  <c:v>42123</c:v>
                </c:pt>
                <c:pt idx="485">
                  <c:v>42122</c:v>
                </c:pt>
                <c:pt idx="486">
                  <c:v>42121</c:v>
                </c:pt>
                <c:pt idx="487">
                  <c:v>42118</c:v>
                </c:pt>
                <c:pt idx="488">
                  <c:v>42117</c:v>
                </c:pt>
                <c:pt idx="489">
                  <c:v>42116</c:v>
                </c:pt>
                <c:pt idx="490">
                  <c:v>42115</c:v>
                </c:pt>
                <c:pt idx="491">
                  <c:v>42114</c:v>
                </c:pt>
                <c:pt idx="492">
                  <c:v>42111</c:v>
                </c:pt>
                <c:pt idx="493">
                  <c:v>42110</c:v>
                </c:pt>
                <c:pt idx="494">
                  <c:v>42109</c:v>
                </c:pt>
                <c:pt idx="495">
                  <c:v>42108</c:v>
                </c:pt>
                <c:pt idx="496">
                  <c:v>42107</c:v>
                </c:pt>
                <c:pt idx="497">
                  <c:v>42104</c:v>
                </c:pt>
                <c:pt idx="498">
                  <c:v>42103</c:v>
                </c:pt>
                <c:pt idx="499">
                  <c:v>42102</c:v>
                </c:pt>
                <c:pt idx="500">
                  <c:v>42101</c:v>
                </c:pt>
                <c:pt idx="501">
                  <c:v>42100</c:v>
                </c:pt>
                <c:pt idx="502">
                  <c:v>42096</c:v>
                </c:pt>
                <c:pt idx="503">
                  <c:v>42095</c:v>
                </c:pt>
                <c:pt idx="504">
                  <c:v>42094</c:v>
                </c:pt>
                <c:pt idx="505">
                  <c:v>42093</c:v>
                </c:pt>
                <c:pt idx="506">
                  <c:v>42090</c:v>
                </c:pt>
                <c:pt idx="507">
                  <c:v>42089</c:v>
                </c:pt>
                <c:pt idx="508">
                  <c:v>42088</c:v>
                </c:pt>
                <c:pt idx="509">
                  <c:v>42087</c:v>
                </c:pt>
                <c:pt idx="510">
                  <c:v>42086</c:v>
                </c:pt>
                <c:pt idx="511">
                  <c:v>42083</c:v>
                </c:pt>
                <c:pt idx="512">
                  <c:v>42082</c:v>
                </c:pt>
                <c:pt idx="513">
                  <c:v>42081</c:v>
                </c:pt>
                <c:pt idx="514">
                  <c:v>42080</c:v>
                </c:pt>
                <c:pt idx="515">
                  <c:v>42079</c:v>
                </c:pt>
                <c:pt idx="516">
                  <c:v>42076</c:v>
                </c:pt>
                <c:pt idx="517">
                  <c:v>42075</c:v>
                </c:pt>
                <c:pt idx="518">
                  <c:v>42074</c:v>
                </c:pt>
                <c:pt idx="519">
                  <c:v>42073</c:v>
                </c:pt>
                <c:pt idx="520">
                  <c:v>42072</c:v>
                </c:pt>
                <c:pt idx="521">
                  <c:v>42069</c:v>
                </c:pt>
                <c:pt idx="522">
                  <c:v>42068</c:v>
                </c:pt>
                <c:pt idx="523">
                  <c:v>42067</c:v>
                </c:pt>
                <c:pt idx="524">
                  <c:v>42066</c:v>
                </c:pt>
                <c:pt idx="525">
                  <c:v>42065</c:v>
                </c:pt>
                <c:pt idx="526">
                  <c:v>42062</c:v>
                </c:pt>
                <c:pt idx="527">
                  <c:v>42061</c:v>
                </c:pt>
                <c:pt idx="528">
                  <c:v>42060</c:v>
                </c:pt>
                <c:pt idx="529">
                  <c:v>42059</c:v>
                </c:pt>
                <c:pt idx="530">
                  <c:v>42058</c:v>
                </c:pt>
                <c:pt idx="531">
                  <c:v>42055</c:v>
                </c:pt>
                <c:pt idx="532">
                  <c:v>42054</c:v>
                </c:pt>
                <c:pt idx="533">
                  <c:v>42053</c:v>
                </c:pt>
                <c:pt idx="534">
                  <c:v>42052</c:v>
                </c:pt>
                <c:pt idx="535">
                  <c:v>42048</c:v>
                </c:pt>
                <c:pt idx="536">
                  <c:v>42047</c:v>
                </c:pt>
                <c:pt idx="537">
                  <c:v>42046</c:v>
                </c:pt>
                <c:pt idx="538">
                  <c:v>42045</c:v>
                </c:pt>
                <c:pt idx="539">
                  <c:v>42044</c:v>
                </c:pt>
                <c:pt idx="540">
                  <c:v>42041</c:v>
                </c:pt>
                <c:pt idx="541">
                  <c:v>42040</c:v>
                </c:pt>
                <c:pt idx="542">
                  <c:v>42039</c:v>
                </c:pt>
                <c:pt idx="543">
                  <c:v>42038</c:v>
                </c:pt>
                <c:pt idx="544">
                  <c:v>42037</c:v>
                </c:pt>
                <c:pt idx="545">
                  <c:v>42034</c:v>
                </c:pt>
                <c:pt idx="546">
                  <c:v>42033</c:v>
                </c:pt>
                <c:pt idx="547">
                  <c:v>42032</c:v>
                </c:pt>
                <c:pt idx="548">
                  <c:v>42031</c:v>
                </c:pt>
                <c:pt idx="549">
                  <c:v>42030</c:v>
                </c:pt>
                <c:pt idx="550">
                  <c:v>42027</c:v>
                </c:pt>
                <c:pt idx="551">
                  <c:v>42026</c:v>
                </c:pt>
                <c:pt idx="552">
                  <c:v>42025</c:v>
                </c:pt>
                <c:pt idx="553">
                  <c:v>42024</c:v>
                </c:pt>
                <c:pt idx="554">
                  <c:v>42020</c:v>
                </c:pt>
                <c:pt idx="555">
                  <c:v>42019</c:v>
                </c:pt>
                <c:pt idx="556">
                  <c:v>42018</c:v>
                </c:pt>
                <c:pt idx="557">
                  <c:v>42017</c:v>
                </c:pt>
                <c:pt idx="558">
                  <c:v>42016</c:v>
                </c:pt>
                <c:pt idx="559">
                  <c:v>42013</c:v>
                </c:pt>
                <c:pt idx="560">
                  <c:v>42012</c:v>
                </c:pt>
                <c:pt idx="561">
                  <c:v>42011</c:v>
                </c:pt>
                <c:pt idx="562">
                  <c:v>42010</c:v>
                </c:pt>
                <c:pt idx="563">
                  <c:v>42009</c:v>
                </c:pt>
                <c:pt idx="564">
                  <c:v>42006</c:v>
                </c:pt>
              </c:numCache>
            </c:numRef>
          </c:cat>
          <c:val>
            <c:numRef>
              <c:f>'Graf 3+4'!$O$3:$O$567</c:f>
              <c:numCache>
                <c:formatCode>General</c:formatCode>
                <c:ptCount val="565"/>
                <c:pt idx="0">
                  <c:v>1.1593184193297863</c:v>
                </c:pt>
                <c:pt idx="1">
                  <c:v>1.1593308558311985</c:v>
                </c:pt>
                <c:pt idx="2">
                  <c:v>1.1625236079216075</c:v>
                </c:pt>
                <c:pt idx="3">
                  <c:v>1.152630225578791</c:v>
                </c:pt>
                <c:pt idx="4">
                  <c:v>1.1527611124136841</c:v>
                </c:pt>
                <c:pt idx="5">
                  <c:v>1.1485809722624984</c:v>
                </c:pt>
                <c:pt idx="6">
                  <c:v>1.1399999061603179</c:v>
                </c:pt>
                <c:pt idx="7">
                  <c:v>1.1446652235822921</c:v>
                </c:pt>
                <c:pt idx="8">
                  <c:v>1.1447027592980454</c:v>
                </c:pt>
                <c:pt idx="9">
                  <c:v>1.1498724755154424</c:v>
                </c:pt>
                <c:pt idx="10">
                  <c:v>1.1459783204767042</c:v>
                </c:pt>
                <c:pt idx="11">
                  <c:v>1.1315428685634998</c:v>
                </c:pt>
                <c:pt idx="12">
                  <c:v>1.1292186412086282</c:v>
                </c:pt>
                <c:pt idx="13">
                  <c:v>1.1328867737925616</c:v>
                </c:pt>
                <c:pt idx="14">
                  <c:v>1.1315817368838497</c:v>
                </c:pt>
                <c:pt idx="15">
                  <c:v>1.1244501036229826</c:v>
                </c:pt>
                <c:pt idx="16">
                  <c:v>1.1194396048099771</c:v>
                </c:pt>
                <c:pt idx="17">
                  <c:v>1.1229355678570641</c:v>
                </c:pt>
                <c:pt idx="18">
                  <c:v>1.1225721768028802</c:v>
                </c:pt>
                <c:pt idx="19">
                  <c:v>1.1267995884561377</c:v>
                </c:pt>
                <c:pt idx="20">
                  <c:v>1.1241544424542589</c:v>
                </c:pt>
                <c:pt idx="21">
                  <c:v>1.1302727940561494</c:v>
                </c:pt>
                <c:pt idx="22">
                  <c:v>1.1148324108265402</c:v>
                </c:pt>
                <c:pt idx="23">
                  <c:v>1.1134617934493072</c:v>
                </c:pt>
                <c:pt idx="24">
                  <c:v>1.1085659006435957</c:v>
                </c:pt>
                <c:pt idx="25">
                  <c:v>1.1204145514707662</c:v>
                </c:pt>
                <c:pt idx="26">
                  <c:v>1.1227567778202676</c:v>
                </c:pt>
                <c:pt idx="27">
                  <c:v>1.1198728417408135</c:v>
                </c:pt>
                <c:pt idx="28">
                  <c:v>1.1086842622931017</c:v>
                </c:pt>
                <c:pt idx="29">
                  <c:v>1.1123639057327925</c:v>
                </c:pt>
                <c:pt idx="30">
                  <c:v>1.1089757880714912</c:v>
                </c:pt>
                <c:pt idx="31">
                  <c:v>1.1052949425131136</c:v>
                </c:pt>
                <c:pt idx="32">
                  <c:v>1.1084424501684378</c:v>
                </c:pt>
                <c:pt idx="33">
                  <c:v>1.1028381928902751</c:v>
                </c:pt>
                <c:pt idx="34">
                  <c:v>1.1029301246059688</c:v>
                </c:pt>
                <c:pt idx="35">
                  <c:v>1.0980837490350002</c:v>
                </c:pt>
                <c:pt idx="36">
                  <c:v>1.0981411034282642</c:v>
                </c:pt>
                <c:pt idx="37">
                  <c:v>1.0987198884875302</c:v>
                </c:pt>
                <c:pt idx="38">
                  <c:v>1.1153656941497969</c:v>
                </c:pt>
                <c:pt idx="39">
                  <c:v>1.1137127911348852</c:v>
                </c:pt>
                <c:pt idx="40">
                  <c:v>1.1131726243219147</c:v>
                </c:pt>
                <c:pt idx="41">
                  <c:v>1.105312090370981</c:v>
                </c:pt>
                <c:pt idx="42">
                  <c:v>1.1094562675784756</c:v>
                </c:pt>
                <c:pt idx="43">
                  <c:v>1.1197357737294729</c:v>
                </c:pt>
                <c:pt idx="44">
                  <c:v>1.1230089182114971</c:v>
                </c:pt>
                <c:pt idx="45">
                  <c:v>1.1241689032174325</c:v>
                </c:pt>
                <c:pt idx="46">
                  <c:v>1.1077603284496904</c:v>
                </c:pt>
                <c:pt idx="47">
                  <c:v>1.1006912522159391</c:v>
                </c:pt>
                <c:pt idx="48">
                  <c:v>1.1031106830705619</c:v>
                </c:pt>
                <c:pt idx="49">
                  <c:v>1.0961883899655946</c:v>
                </c:pt>
                <c:pt idx="50">
                  <c:v>1.1011768297573266</c:v>
                </c:pt>
                <c:pt idx="51">
                  <c:v>1.0975335763587921</c:v>
                </c:pt>
                <c:pt idx="52">
                  <c:v>1.0994181768715525</c:v>
                </c:pt>
                <c:pt idx="53">
                  <c:v>1.0911693459554872</c:v>
                </c:pt>
                <c:pt idx="54">
                  <c:v>1.0934816854496221</c:v>
                </c:pt>
                <c:pt idx="55">
                  <c:v>1.0882444373308076</c:v>
                </c:pt>
                <c:pt idx="56">
                  <c:v>1.0875222001249436</c:v>
                </c:pt>
                <c:pt idx="57">
                  <c:v>1.0885568708979911</c:v>
                </c:pt>
                <c:pt idx="58">
                  <c:v>1.0918770777793689</c:v>
                </c:pt>
                <c:pt idx="59">
                  <c:v>1.0797898784981053</c:v>
                </c:pt>
                <c:pt idx="60">
                  <c:v>1.075468148462325</c:v>
                </c:pt>
                <c:pt idx="61">
                  <c:v>1.0779610096977623</c:v>
                </c:pt>
                <c:pt idx="62">
                  <c:v>1.068159585003944</c:v>
                </c:pt>
                <c:pt idx="63">
                  <c:v>1.0617890027609671</c:v>
                </c:pt>
                <c:pt idx="64">
                  <c:v>1.0684369428258043</c:v>
                </c:pt>
                <c:pt idx="65">
                  <c:v>1.0657212228453985</c:v>
                </c:pt>
                <c:pt idx="66">
                  <c:v>1.0656855002575512</c:v>
                </c:pt>
                <c:pt idx="67">
                  <c:v>1.065341920264693</c:v>
                </c:pt>
                <c:pt idx="68">
                  <c:v>1.0622118519398476</c:v>
                </c:pt>
                <c:pt idx="69">
                  <c:v>1.0633019080992439</c:v>
                </c:pt>
                <c:pt idx="70">
                  <c:v>1.0615040614006572</c:v>
                </c:pt>
                <c:pt idx="71">
                  <c:v>1.0550156400320998</c:v>
                </c:pt>
                <c:pt idx="72">
                  <c:v>1.0671631688029688</c:v>
                </c:pt>
                <c:pt idx="73">
                  <c:v>1.0677833903600735</c:v>
                </c:pt>
                <c:pt idx="74">
                  <c:v>1.0610495185677733</c:v>
                </c:pt>
                <c:pt idx="75">
                  <c:v>1.0525815104483867</c:v>
                </c:pt>
                <c:pt idx="76">
                  <c:v>1.0569339241663274</c:v>
                </c:pt>
                <c:pt idx="77">
                  <c:v>1.0521774074434349</c:v>
                </c:pt>
                <c:pt idx="78">
                  <c:v>1.0295153709648801</c:v>
                </c:pt>
                <c:pt idx="79">
                  <c:v>1.0261977955894892</c:v>
                </c:pt>
                <c:pt idx="80">
                  <c:v>1.0011282221955122</c:v>
                </c:pt>
                <c:pt idx="81">
                  <c:v>0.99839666205337663</c:v>
                </c:pt>
                <c:pt idx="82">
                  <c:v>1.0059537161901404</c:v>
                </c:pt>
                <c:pt idx="83">
                  <c:v>1.0067282070725909</c:v>
                </c:pt>
                <c:pt idx="84">
                  <c:v>0.99917235072570598</c:v>
                </c:pt>
                <c:pt idx="85">
                  <c:v>1.0108172397150534</c:v>
                </c:pt>
                <c:pt idx="86">
                  <c:v>1.0039413047951298</c:v>
                </c:pt>
                <c:pt idx="87">
                  <c:v>1.0151089806877329</c:v>
                </c:pt>
                <c:pt idx="88">
                  <c:v>1.010624904535633</c:v>
                </c:pt>
                <c:pt idx="89">
                  <c:v>1.0068031250545317</c:v>
                </c:pt>
                <c:pt idx="90">
                  <c:v>1.0134583556460126</c:v>
                </c:pt>
                <c:pt idx="91">
                  <c:v>1.0170472403655446</c:v>
                </c:pt>
                <c:pt idx="92">
                  <c:v>1.0271105665756455</c:v>
                </c:pt>
                <c:pt idx="93">
                  <c:v>1.0247288024380157</c:v>
                </c:pt>
                <c:pt idx="94">
                  <c:v>1.0325616021429678</c:v>
                </c:pt>
                <c:pt idx="95">
                  <c:v>1.0318593559018523</c:v>
                </c:pt>
                <c:pt idx="96">
                  <c:v>1.037733321034823</c:v>
                </c:pt>
                <c:pt idx="97">
                  <c:v>1.029856984840789</c:v>
                </c:pt>
                <c:pt idx="98">
                  <c:v>1.0292463320789675</c:v>
                </c:pt>
                <c:pt idx="99">
                  <c:v>1.0165666030478886</c:v>
                </c:pt>
                <c:pt idx="100">
                  <c:v>1.0228521372719714</c:v>
                </c:pt>
                <c:pt idx="101">
                  <c:v>1.0260299075813295</c:v>
                </c:pt>
                <c:pt idx="102">
                  <c:v>1.0368559706842753</c:v>
                </c:pt>
                <c:pt idx="103">
                  <c:v>1.0415025073501489</c:v>
                </c:pt>
                <c:pt idx="104">
                  <c:v>1.0423213777205187</c:v>
                </c:pt>
                <c:pt idx="105">
                  <c:v>1.0398722555437612</c:v>
                </c:pt>
                <c:pt idx="106">
                  <c:v>1.0410153660976116</c:v>
                </c:pt>
                <c:pt idx="107">
                  <c:v>1.0435233822372201</c:v>
                </c:pt>
                <c:pt idx="108">
                  <c:v>1.0426874682217568</c:v>
                </c:pt>
                <c:pt idx="109">
                  <c:v>1.0376086410209928</c:v>
                </c:pt>
                <c:pt idx="110">
                  <c:v>1.043228423235365</c:v>
                </c:pt>
                <c:pt idx="111">
                  <c:v>1.0401033013740353</c:v>
                </c:pt>
                <c:pt idx="112">
                  <c:v>1.0407787302110423</c:v>
                </c:pt>
                <c:pt idx="113">
                  <c:v>1.0296064420983613</c:v>
                </c:pt>
                <c:pt idx="114">
                  <c:v>1.0363243241804394</c:v>
                </c:pt>
                <c:pt idx="115">
                  <c:v>1.0244958063622986</c:v>
                </c:pt>
                <c:pt idx="116">
                  <c:v>1.0339567717873526</c:v>
                </c:pt>
                <c:pt idx="117">
                  <c:v>1.0425759423479182</c:v>
                </c:pt>
                <c:pt idx="118">
                  <c:v>1.0536926736032042</c:v>
                </c:pt>
                <c:pt idx="119">
                  <c:v>1.0431703135086261</c:v>
                </c:pt>
                <c:pt idx="120">
                  <c:v>1.049922239369768</c:v>
                </c:pt>
                <c:pt idx="121">
                  <c:v>1.0555355863812821</c:v>
                </c:pt>
                <c:pt idx="122">
                  <c:v>1.0576526223932765</c:v>
                </c:pt>
                <c:pt idx="123">
                  <c:v>1.0503809097477816</c:v>
                </c:pt>
                <c:pt idx="124">
                  <c:v>1.0503809097477816</c:v>
                </c:pt>
                <c:pt idx="125">
                  <c:v>1.0397940212951338</c:v>
                </c:pt>
                <c:pt idx="126">
                  <c:v>1.0416911925943628</c:v>
                </c:pt>
                <c:pt idx="127">
                  <c:v>1.0351713511389602</c:v>
                </c:pt>
                <c:pt idx="128">
                  <c:v>1.0412842636182695</c:v>
                </c:pt>
                <c:pt idx="129">
                  <c:v>1.0614054353896432</c:v>
                </c:pt>
                <c:pt idx="130">
                  <c:v>1.0654735769262134</c:v>
                </c:pt>
                <c:pt idx="131">
                  <c:v>1.0363745568263636</c:v>
                </c:pt>
                <c:pt idx="132">
                  <c:v>1.0328127060734991</c:v>
                </c:pt>
                <c:pt idx="133">
                  <c:v>1.0319614290812957</c:v>
                </c:pt>
                <c:pt idx="134">
                  <c:v>1.0211879095925762</c:v>
                </c:pt>
                <c:pt idx="135">
                  <c:v>1.0429728598482875</c:v>
                </c:pt>
                <c:pt idx="136">
                  <c:v>1.0389571017031374</c:v>
                </c:pt>
                <c:pt idx="137">
                  <c:v>1.0380566963842326</c:v>
                </c:pt>
                <c:pt idx="138">
                  <c:v>1.042475345642746</c:v>
                </c:pt>
                <c:pt idx="139">
                  <c:v>1.0540266932237152</c:v>
                </c:pt>
                <c:pt idx="140">
                  <c:v>1.0662097804963171</c:v>
                </c:pt>
                <c:pt idx="141">
                  <c:v>1.0722857486375492</c:v>
                </c:pt>
                <c:pt idx="142">
                  <c:v>1.0669305696922753</c:v>
                </c:pt>
                <c:pt idx="143">
                  <c:v>1.0596303411942589</c:v>
                </c:pt>
                <c:pt idx="144">
                  <c:v>1.048607517843994</c:v>
                </c:pt>
                <c:pt idx="145">
                  <c:v>1.0505538322050292</c:v>
                </c:pt>
                <c:pt idx="146">
                  <c:v>1.0560240579799114</c:v>
                </c:pt>
                <c:pt idx="147">
                  <c:v>1.0475495675154458</c:v>
                </c:pt>
                <c:pt idx="148">
                  <c:v>1.0568718964462027</c:v>
                </c:pt>
                <c:pt idx="149">
                  <c:v>1.0551803443736114</c:v>
                </c:pt>
                <c:pt idx="150">
                  <c:v>1.0631790874519584</c:v>
                </c:pt>
                <c:pt idx="151">
                  <c:v>1.0646801999551814</c:v>
                </c:pt>
                <c:pt idx="152">
                  <c:v>1.0554696494847673</c:v>
                </c:pt>
                <c:pt idx="153">
                  <c:v>1.0602125395580897</c:v>
                </c:pt>
                <c:pt idx="154">
                  <c:v>1.066623584617874</c:v>
                </c:pt>
                <c:pt idx="155">
                  <c:v>1.0553333498981217</c:v>
                </c:pt>
                <c:pt idx="156">
                  <c:v>1.06800025015849</c:v>
                </c:pt>
                <c:pt idx="157">
                  <c:v>1.0660905538202394</c:v>
                </c:pt>
                <c:pt idx="158">
                  <c:v>1.0624276047681671</c:v>
                </c:pt>
                <c:pt idx="159">
                  <c:v>1.0642714920505143</c:v>
                </c:pt>
                <c:pt idx="160">
                  <c:v>1.0564512957335186</c:v>
                </c:pt>
                <c:pt idx="161">
                  <c:v>1.0546385786936168</c:v>
                </c:pt>
                <c:pt idx="162">
                  <c:v>1.027258535584374</c:v>
                </c:pt>
                <c:pt idx="163">
                  <c:v>1.0219725589373629</c:v>
                </c:pt>
                <c:pt idx="164">
                  <c:v>1.0128983456490053</c:v>
                </c:pt>
                <c:pt idx="165">
                  <c:v>1.0104698185246308</c:v>
                </c:pt>
                <c:pt idx="166">
                  <c:v>1.0122967850157405</c:v>
                </c:pt>
                <c:pt idx="167">
                  <c:v>1.0257480636455405</c:v>
                </c:pt>
                <c:pt idx="168">
                  <c:v>1.0251693501771468</c:v>
                </c:pt>
                <c:pt idx="169">
                  <c:v>1.0117220968034557</c:v>
                </c:pt>
                <c:pt idx="170">
                  <c:v>1.0083457789849462</c:v>
                </c:pt>
                <c:pt idx="171">
                  <c:v>1.0010654038392839</c:v>
                </c:pt>
                <c:pt idx="172">
                  <c:v>0.99611825194044101</c:v>
                </c:pt>
                <c:pt idx="173">
                  <c:v>0.98928123793411959</c:v>
                </c:pt>
                <c:pt idx="174">
                  <c:v>0.99386413524791961</c:v>
                </c:pt>
                <c:pt idx="175">
                  <c:v>0.99228202525199172</c:v>
                </c:pt>
                <c:pt idx="176">
                  <c:v>0.97691290259300589</c:v>
                </c:pt>
                <c:pt idx="177">
                  <c:v>0.99015718429435395</c:v>
                </c:pt>
                <c:pt idx="178">
                  <c:v>0.98971843809157622</c:v>
                </c:pt>
                <c:pt idx="179">
                  <c:v>0.99444601207809047</c:v>
                </c:pt>
                <c:pt idx="180">
                  <c:v>0.98022596996923284</c:v>
                </c:pt>
                <c:pt idx="181">
                  <c:v>0.98204652939377879</c:v>
                </c:pt>
                <c:pt idx="182">
                  <c:v>0.96518382246014744</c:v>
                </c:pt>
                <c:pt idx="183">
                  <c:v>0.9442099765125116</c:v>
                </c:pt>
                <c:pt idx="184">
                  <c:v>0.92265233943255232</c:v>
                </c:pt>
                <c:pt idx="185">
                  <c:v>0.92006135233231667</c:v>
                </c:pt>
                <c:pt idx="186">
                  <c:v>0.93686638087007346</c:v>
                </c:pt>
                <c:pt idx="187">
                  <c:v>0.96589005958086327</c:v>
                </c:pt>
                <c:pt idx="188">
                  <c:v>0.95013250598663102</c:v>
                </c:pt>
                <c:pt idx="189">
                  <c:v>0.94534546045163848</c:v>
                </c:pt>
                <c:pt idx="190">
                  <c:v>0.92373885870339234</c:v>
                </c:pt>
                <c:pt idx="191">
                  <c:v>0.90308232127289201</c:v>
                </c:pt>
                <c:pt idx="192">
                  <c:v>0.94438644123333604</c:v>
                </c:pt>
                <c:pt idx="193">
                  <c:v>1.0279671724809889</c:v>
                </c:pt>
                <c:pt idx="194">
                  <c:v>1.0049960294866369</c:v>
                </c:pt>
                <c:pt idx="195">
                  <c:v>0.99552304293307303</c:v>
                </c:pt>
                <c:pt idx="196">
                  <c:v>0.99512635911092651</c:v>
                </c:pt>
                <c:pt idx="197">
                  <c:v>0.95638835647704035</c:v>
                </c:pt>
                <c:pt idx="198">
                  <c:v>0.94251940778724608</c:v>
                </c:pt>
                <c:pt idx="199">
                  <c:v>0.95111602250379912</c:v>
                </c:pt>
                <c:pt idx="200">
                  <c:v>0.93967299715750685</c:v>
                </c:pt>
                <c:pt idx="201">
                  <c:v>0.96018940066614311</c:v>
                </c:pt>
                <c:pt idx="202">
                  <c:v>0.97768289207168557</c:v>
                </c:pt>
                <c:pt idx="203">
                  <c:v>1.0064148745640655</c:v>
                </c:pt>
                <c:pt idx="204">
                  <c:v>1.0258887772307572</c:v>
                </c:pt>
                <c:pt idx="205">
                  <c:v>1.0283807390911459</c:v>
                </c:pt>
                <c:pt idx="206">
                  <c:v>1.0145108163158643</c:v>
                </c:pt>
                <c:pt idx="207">
                  <c:v>1.0081476942878798</c:v>
                </c:pt>
                <c:pt idx="208">
                  <c:v>1.0033262160653846</c:v>
                </c:pt>
                <c:pt idx="209">
                  <c:v>1.0045888351015773</c:v>
                </c:pt>
                <c:pt idx="210">
                  <c:v>1.0071452961725393</c:v>
                </c:pt>
                <c:pt idx="211">
                  <c:v>1.0092574565626702</c:v>
                </c:pt>
                <c:pt idx="212">
                  <c:v>1.0114278385915263</c:v>
                </c:pt>
                <c:pt idx="213">
                  <c:v>1.0032800601830063</c:v>
                </c:pt>
                <c:pt idx="214">
                  <c:v>0.98766416716475347</c:v>
                </c:pt>
                <c:pt idx="215">
                  <c:v>0.97137812196657913</c:v>
                </c:pt>
                <c:pt idx="216">
                  <c:v>0.97907907154557572</c:v>
                </c:pt>
                <c:pt idx="217">
                  <c:v>0.9663641962465257</c:v>
                </c:pt>
                <c:pt idx="218">
                  <c:v>0.98755756826895102</c:v>
                </c:pt>
                <c:pt idx="219">
                  <c:v>0.98671933971401904</c:v>
                </c:pt>
                <c:pt idx="220">
                  <c:v>0.98967659303617195</c:v>
                </c:pt>
                <c:pt idx="221">
                  <c:v>0.98967659303617195</c:v>
                </c:pt>
                <c:pt idx="222">
                  <c:v>0.98862612375780134</c:v>
                </c:pt>
                <c:pt idx="223">
                  <c:v>1.003952280109849</c:v>
                </c:pt>
                <c:pt idx="224">
                  <c:v>1.0065703361068987</c:v>
                </c:pt>
                <c:pt idx="225">
                  <c:v>1.0008578594477018</c:v>
                </c:pt>
                <c:pt idx="226">
                  <c:v>0.99266746342114809</c:v>
                </c:pt>
                <c:pt idx="227">
                  <c:v>0.98969003394288091</c:v>
                </c:pt>
                <c:pt idx="228">
                  <c:v>0.9946987329614716</c:v>
                </c:pt>
                <c:pt idx="229">
                  <c:v>1.0072001207158028</c:v>
                </c:pt>
                <c:pt idx="230">
                  <c:v>1.0263555725359836</c:v>
                </c:pt>
                <c:pt idx="231">
                  <c:v>1.0105540004844284</c:v>
                </c:pt>
                <c:pt idx="232">
                  <c:v>1.0290571367995618</c:v>
                </c:pt>
                <c:pt idx="233">
                  <c:v>1.0258367886036686</c:v>
                </c:pt>
                <c:pt idx="234">
                  <c:v>1.0193370038004681</c:v>
                </c:pt>
                <c:pt idx="235">
                  <c:v>1.0201481654567353</c:v>
                </c:pt>
                <c:pt idx="236">
                  <c:v>1.0239751004103947</c:v>
                </c:pt>
                <c:pt idx="237">
                  <c:v>1.0365379984907799</c:v>
                </c:pt>
                <c:pt idx="238">
                  <c:v>1.0377161347151498</c:v>
                </c:pt>
                <c:pt idx="239">
                  <c:v>1.0351254591354633</c:v>
                </c:pt>
                <c:pt idx="240">
                  <c:v>1.0078646626328016</c:v>
                </c:pt>
                <c:pt idx="241">
                  <c:v>0.99861985741290438</c:v>
                </c:pt>
                <c:pt idx="242">
                  <c:v>0.99987160830710042</c:v>
                </c:pt>
                <c:pt idx="243">
                  <c:v>0.99509639180458564</c:v>
                </c:pt>
                <c:pt idx="244">
                  <c:v>0.97602233643939429</c:v>
                </c:pt>
                <c:pt idx="245">
                  <c:v>0.97127368223792621</c:v>
                </c:pt>
                <c:pt idx="246">
                  <c:v>0.96434469481420027</c:v>
                </c:pt>
                <c:pt idx="247">
                  <c:v>0.95197817144768182</c:v>
                </c:pt>
                <c:pt idx="248">
                  <c:v>0.96511666452646061</c:v>
                </c:pt>
                <c:pt idx="249">
                  <c:v>0.95704461762722559</c:v>
                </c:pt>
                <c:pt idx="250">
                  <c:v>0.98329979606627216</c:v>
                </c:pt>
                <c:pt idx="251">
                  <c:v>0.98023413949537863</c:v>
                </c:pt>
                <c:pt idx="252">
                  <c:v>0.99643033709233686</c:v>
                </c:pt>
                <c:pt idx="253">
                  <c:v>0.99906947163194149</c:v>
                </c:pt>
                <c:pt idx="254">
                  <c:v>0.9781521282549237</c:v>
                </c:pt>
                <c:pt idx="255">
                  <c:v>0.96734920190425733</c:v>
                </c:pt>
                <c:pt idx="256">
                  <c:v>0.96734920190425733</c:v>
                </c:pt>
                <c:pt idx="257">
                  <c:v>0.98429219139722646</c:v>
                </c:pt>
                <c:pt idx="258">
                  <c:v>0.9843041844971796</c:v>
                </c:pt>
                <c:pt idx="259">
                  <c:v>0.98264625514350623</c:v>
                </c:pt>
                <c:pt idx="260">
                  <c:v>0.98516882499470992</c:v>
                </c:pt>
                <c:pt idx="261">
                  <c:v>0.98306676922139125</c:v>
                </c:pt>
                <c:pt idx="262">
                  <c:v>0.97119299701620077</c:v>
                </c:pt>
                <c:pt idx="263">
                  <c:v>0.96873653683381677</c:v>
                </c:pt>
                <c:pt idx="264">
                  <c:v>0.97205078438424652</c:v>
                </c:pt>
                <c:pt idx="265">
                  <c:v>0.96233176040559143</c:v>
                </c:pt>
                <c:pt idx="266">
                  <c:v>0.93078814592446868</c:v>
                </c:pt>
                <c:pt idx="267">
                  <c:v>0.93930825818804364</c:v>
                </c:pt>
                <c:pt idx="268">
                  <c:v>0.93527501867880525</c:v>
                </c:pt>
                <c:pt idx="269">
                  <c:v>0.94426049603939344</c:v>
                </c:pt>
                <c:pt idx="270">
                  <c:v>0.94678383001610555</c:v>
                </c:pt>
                <c:pt idx="271">
                  <c:v>0.93458924283846279</c:v>
                </c:pt>
                <c:pt idx="272">
                  <c:v>0.9285682877693382</c:v>
                </c:pt>
                <c:pt idx="273">
                  <c:v>0.92291252831581327</c:v>
                </c:pt>
                <c:pt idx="274">
                  <c:v>0.90115781336606804</c:v>
                </c:pt>
                <c:pt idx="275">
                  <c:v>0.90760737690539517</c:v>
                </c:pt>
                <c:pt idx="276">
                  <c:v>0.8988338705257144</c:v>
                </c:pt>
                <c:pt idx="277">
                  <c:v>0.87941038192311316</c:v>
                </c:pt>
                <c:pt idx="278">
                  <c:v>0.90558434581135794</c:v>
                </c:pt>
                <c:pt idx="279">
                  <c:v>0.92258920925444632</c:v>
                </c:pt>
                <c:pt idx="280">
                  <c:v>0.91208053163895642</c:v>
                </c:pt>
                <c:pt idx="281">
                  <c:v>0.91881842959373827</c:v>
                </c:pt>
                <c:pt idx="282">
                  <c:v>0.91231803568031422</c:v>
                </c:pt>
                <c:pt idx="283">
                  <c:v>0.88507857237169918</c:v>
                </c:pt>
                <c:pt idx="284">
                  <c:v>0.876262296592768</c:v>
                </c:pt>
                <c:pt idx="285">
                  <c:v>0.85933584616871528</c:v>
                </c:pt>
                <c:pt idx="286">
                  <c:v>0.87992868914133004</c:v>
                </c:pt>
                <c:pt idx="287">
                  <c:v>0.87176168725286884</c:v>
                </c:pt>
                <c:pt idx="288">
                  <c:v>0.86996287128820859</c:v>
                </c:pt>
                <c:pt idx="289">
                  <c:v>0.90075157777867609</c:v>
                </c:pt>
                <c:pt idx="290">
                  <c:v>0.91727731216849229</c:v>
                </c:pt>
                <c:pt idx="291">
                  <c:v>0.90988562627069558</c:v>
                </c:pt>
                <c:pt idx="292">
                  <c:v>0.91106639932566136</c:v>
                </c:pt>
                <c:pt idx="293">
                  <c:v>0.92747622924101014</c:v>
                </c:pt>
                <c:pt idx="294">
                  <c:v>0.92717352758071159</c:v>
                </c:pt>
                <c:pt idx="295">
                  <c:v>0.92020136954978149</c:v>
                </c:pt>
                <c:pt idx="296">
                  <c:v>0.93806481372256556</c:v>
                </c:pt>
                <c:pt idx="297">
                  <c:v>0.92955565806430673</c:v>
                </c:pt>
                <c:pt idx="298">
                  <c:v>0.91945007803601464</c:v>
                </c:pt>
                <c:pt idx="299">
                  <c:v>0.9207324373353547</c:v>
                </c:pt>
                <c:pt idx="300">
                  <c:v>0.90372785041527903</c:v>
                </c:pt>
                <c:pt idx="301">
                  <c:v>0.89166649399310316</c:v>
                </c:pt>
                <c:pt idx="302">
                  <c:v>0.92031522671151555</c:v>
                </c:pt>
                <c:pt idx="303">
                  <c:v>0.90998099394027077</c:v>
                </c:pt>
                <c:pt idx="304">
                  <c:v>0.92732120568286636</c:v>
                </c:pt>
                <c:pt idx="305">
                  <c:v>0.9430656887928337</c:v>
                </c:pt>
                <c:pt idx="306">
                  <c:v>0.94450386507966222</c:v>
                </c:pt>
                <c:pt idx="307">
                  <c:v>0.93210535626219682</c:v>
                </c:pt>
                <c:pt idx="308">
                  <c:v>0.93521075820433475</c:v>
                </c:pt>
                <c:pt idx="309">
                  <c:v>0.94592572342197023</c:v>
                </c:pt>
                <c:pt idx="310">
                  <c:v>0.95913127729355474</c:v>
                </c:pt>
                <c:pt idx="311">
                  <c:v>0.96762058604447887</c:v>
                </c:pt>
                <c:pt idx="312">
                  <c:v>0.97170097675345701</c:v>
                </c:pt>
                <c:pt idx="313">
                  <c:v>1.0226383155278813</c:v>
                </c:pt>
                <c:pt idx="314">
                  <c:v>1.0226383155278813</c:v>
                </c:pt>
                <c:pt idx="315">
                  <c:v>1.0353238643166875</c:v>
                </c:pt>
                <c:pt idx="316">
                  <c:v>1.0199605370947635</c:v>
                </c:pt>
                <c:pt idx="317">
                  <c:v>1.0183459041738327</c:v>
                </c:pt>
                <c:pt idx="318">
                  <c:v>1.0183459041738327</c:v>
                </c:pt>
                <c:pt idx="319">
                  <c:v>1.0038671656734142</c:v>
                </c:pt>
                <c:pt idx="320">
                  <c:v>0.99932410540695749</c:v>
                </c:pt>
                <c:pt idx="321">
                  <c:v>1.0028844323307071</c:v>
                </c:pt>
                <c:pt idx="322">
                  <c:v>1.0133406772699738</c:v>
                </c:pt>
                <c:pt idx="323">
                  <c:v>0.99770439663595356</c:v>
                </c:pt>
                <c:pt idx="324">
                  <c:v>0.99571436072232533</c:v>
                </c:pt>
                <c:pt idx="325">
                  <c:v>0.9735526988792742</c:v>
                </c:pt>
                <c:pt idx="326">
                  <c:v>0.99109149895837323</c:v>
                </c:pt>
                <c:pt idx="327">
                  <c:v>1.0113271239055615</c:v>
                </c:pt>
                <c:pt idx="328">
                  <c:v>1.0158118122135091</c:v>
                </c:pt>
                <c:pt idx="329">
                  <c:v>1.0130211528433595</c:v>
                </c:pt>
                <c:pt idx="330">
                  <c:v>1.0291069554165229</c:v>
                </c:pt>
                <c:pt idx="331">
                  <c:v>1.0183219057436368</c:v>
                </c:pt>
                <c:pt idx="332">
                  <c:v>1.0247808289370313</c:v>
                </c:pt>
                <c:pt idx="333">
                  <c:v>1.0317211833970852</c:v>
                </c:pt>
                <c:pt idx="334">
                  <c:v>1.0409472462628195</c:v>
                </c:pt>
                <c:pt idx="335">
                  <c:v>1.0463303338486263</c:v>
                </c:pt>
                <c:pt idx="336">
                  <c:v>1.0422998871969362</c:v>
                </c:pt>
                <c:pt idx="337">
                  <c:v>1.0333677864045816</c:v>
                </c:pt>
                <c:pt idx="338">
                  <c:v>1.0141276085273034</c:v>
                </c:pt>
                <c:pt idx="339">
                  <c:v>1.0258944145136732</c:v>
                </c:pt>
                <c:pt idx="340">
                  <c:v>1.0311792480324629</c:v>
                </c:pt>
                <c:pt idx="341">
                  <c:v>1.035184579832483</c:v>
                </c:pt>
                <c:pt idx="342">
                  <c:v>1.0155594366309284</c:v>
                </c:pt>
                <c:pt idx="343">
                  <c:v>1.0172270629396012</c:v>
                </c:pt>
                <c:pt idx="344">
                  <c:v>0.99766321739069186</c:v>
                </c:pt>
                <c:pt idx="345">
                  <c:v>1.0001969132003321</c:v>
                </c:pt>
                <c:pt idx="346">
                  <c:v>1.0119642052213687</c:v>
                </c:pt>
                <c:pt idx="347">
                  <c:v>1.0188390860030205</c:v>
                </c:pt>
                <c:pt idx="348">
                  <c:v>1.0096255869288537</c:v>
                </c:pt>
                <c:pt idx="349">
                  <c:v>1.0128890417419956</c:v>
                </c:pt>
                <c:pt idx="350">
                  <c:v>1.0267617682437038</c:v>
                </c:pt>
                <c:pt idx="351">
                  <c:v>1.0294399524693461</c:v>
                </c:pt>
                <c:pt idx="352">
                  <c:v>1.0246888997575518</c:v>
                </c:pt>
                <c:pt idx="353">
                  <c:v>1.0436678156162871</c:v>
                </c:pt>
                <c:pt idx="354">
                  <c:v>1.0492498106951209</c:v>
                </c:pt>
                <c:pt idx="355">
                  <c:v>1.0397096621361444</c:v>
                </c:pt>
                <c:pt idx="356">
                  <c:v>1.0304736803602927</c:v>
                </c:pt>
                <c:pt idx="357">
                  <c:v>1.0421779809264815</c:v>
                </c:pt>
                <c:pt idx="358">
                  <c:v>1.0266277961185977</c:v>
                </c:pt>
                <c:pt idx="359">
                  <c:v>1.0381657823302373</c:v>
                </c:pt>
                <c:pt idx="360">
                  <c:v>1.0340841519288717</c:v>
                </c:pt>
                <c:pt idx="361">
                  <c:v>1.0164238799514149</c:v>
                </c:pt>
                <c:pt idx="362">
                  <c:v>1.01050463193</c:v>
                </c:pt>
                <c:pt idx="363">
                  <c:v>1.0021274786591841</c:v>
                </c:pt>
                <c:pt idx="364">
                  <c:v>1.001118211331244</c:v>
                </c:pt>
                <c:pt idx="365">
                  <c:v>1.0004069090983596</c:v>
                </c:pt>
                <c:pt idx="366">
                  <c:v>0.99823057489819167</c:v>
                </c:pt>
                <c:pt idx="367">
                  <c:v>0.98711137247621128</c:v>
                </c:pt>
                <c:pt idx="368">
                  <c:v>0.99399767921371729</c:v>
                </c:pt>
                <c:pt idx="369">
                  <c:v>1.001637245052013</c:v>
                </c:pt>
                <c:pt idx="370">
                  <c:v>0.99942449969991687</c:v>
                </c:pt>
                <c:pt idx="371">
                  <c:v>0.98028799548705647</c:v>
                </c:pt>
                <c:pt idx="372">
                  <c:v>0.97453756074564479</c:v>
                </c:pt>
                <c:pt idx="373">
                  <c:v>0.96950206961204999</c:v>
                </c:pt>
                <c:pt idx="374">
                  <c:v>0.95367739055912515</c:v>
                </c:pt>
                <c:pt idx="375">
                  <c:v>0.93130739280414243</c:v>
                </c:pt>
                <c:pt idx="376">
                  <c:v>0.92257167137654816</c:v>
                </c:pt>
                <c:pt idx="377">
                  <c:v>0.9369897235749638</c:v>
                </c:pt>
                <c:pt idx="378">
                  <c:v>0.92193548878827247</c:v>
                </c:pt>
                <c:pt idx="379">
                  <c:v>0.9233914798818581</c:v>
                </c:pt>
                <c:pt idx="380">
                  <c:v>0.93999818770751564</c:v>
                </c:pt>
                <c:pt idx="381">
                  <c:v>0.91862549572934871</c:v>
                </c:pt>
                <c:pt idx="382">
                  <c:v>0.93075952239034332</c:v>
                </c:pt>
                <c:pt idx="383">
                  <c:v>0.9218608017900447</c:v>
                </c:pt>
                <c:pt idx="384">
                  <c:v>0.96747708124340415</c:v>
                </c:pt>
                <c:pt idx="385">
                  <c:v>0.97780695674997431</c:v>
                </c:pt>
                <c:pt idx="386">
                  <c:v>1.0030430559336785</c:v>
                </c:pt>
                <c:pt idx="387">
                  <c:v>1.0032535375312785</c:v>
                </c:pt>
                <c:pt idx="388">
                  <c:v>0.99710450329767153</c:v>
                </c:pt>
                <c:pt idx="389">
                  <c:v>0.99473705443535954</c:v>
                </c:pt>
                <c:pt idx="390">
                  <c:v>0.99622258295827626</c:v>
                </c:pt>
                <c:pt idx="391">
                  <c:v>0.99751307908028886</c:v>
                </c:pt>
                <c:pt idx="392">
                  <c:v>0.99736201216503595</c:v>
                </c:pt>
                <c:pt idx="393">
                  <c:v>0.99642250052716586</c:v>
                </c:pt>
                <c:pt idx="394">
                  <c:v>0.96950608236079416</c:v>
                </c:pt>
                <c:pt idx="395">
                  <c:v>0.99426129161127963</c:v>
                </c:pt>
                <c:pt idx="396">
                  <c:v>0.97819619747680275</c:v>
                </c:pt>
                <c:pt idx="397">
                  <c:v>0.97815769297206545</c:v>
                </c:pt>
                <c:pt idx="398">
                  <c:v>0.99609201566081618</c:v>
                </c:pt>
                <c:pt idx="399">
                  <c:v>0.99810430677046202</c:v>
                </c:pt>
                <c:pt idx="400">
                  <c:v>1.0043813163229602</c:v>
                </c:pt>
                <c:pt idx="401">
                  <c:v>0.98605802432037892</c:v>
                </c:pt>
                <c:pt idx="402">
                  <c:v>1.0022454405484522</c:v>
                </c:pt>
                <c:pt idx="403">
                  <c:v>0.9621798114800999</c:v>
                </c:pt>
                <c:pt idx="404">
                  <c:v>0.99519630127666625</c:v>
                </c:pt>
                <c:pt idx="405">
                  <c:v>1.0101233397608023</c:v>
                </c:pt>
                <c:pt idx="406">
                  <c:v>1.0215121193029515</c:v>
                </c:pt>
                <c:pt idx="407">
                  <c:v>1.0405323575523417</c:v>
                </c:pt>
                <c:pt idx="408">
                  <c:v>1.0470864195337501</c:v>
                </c:pt>
                <c:pt idx="409">
                  <c:v>1.0565300353063183</c:v>
                </c:pt>
                <c:pt idx="410">
                  <c:v>1.0592074054766378</c:v>
                </c:pt>
                <c:pt idx="411">
                  <c:v>1.054215359141867</c:v>
                </c:pt>
                <c:pt idx="412">
                  <c:v>1.0731973837705233</c:v>
                </c:pt>
                <c:pt idx="413">
                  <c:v>1.1005375034619922</c:v>
                </c:pt>
                <c:pt idx="414">
                  <c:v>1.0845387137471691</c:v>
                </c:pt>
                <c:pt idx="415">
                  <c:v>1.0895890453760244</c:v>
                </c:pt>
                <c:pt idx="416">
                  <c:v>1.0892276411529545</c:v>
                </c:pt>
                <c:pt idx="417">
                  <c:v>1.0817421004628613</c:v>
                </c:pt>
                <c:pt idx="418">
                  <c:v>1.0805715232371984</c:v>
                </c:pt>
                <c:pt idx="419">
                  <c:v>1.0725206536673744</c:v>
                </c:pt>
                <c:pt idx="420">
                  <c:v>1.0596305718399366</c:v>
                </c:pt>
                <c:pt idx="421">
                  <c:v>1.0666905355618583</c:v>
                </c:pt>
                <c:pt idx="422">
                  <c:v>1.0644758541627093</c:v>
                </c:pt>
                <c:pt idx="423">
                  <c:v>1.0597588121708332</c:v>
                </c:pt>
                <c:pt idx="424">
                  <c:v>1.0734258199079507</c:v>
                </c:pt>
                <c:pt idx="425">
                  <c:v>1.089074020297649</c:v>
                </c:pt>
                <c:pt idx="426">
                  <c:v>1.0815685197861695</c:v>
                </c:pt>
                <c:pt idx="427">
                  <c:v>1.0939811230129184</c:v>
                </c:pt>
                <c:pt idx="428">
                  <c:v>1.0942824090512611</c:v>
                </c:pt>
                <c:pt idx="429">
                  <c:v>1.0904270833722207</c:v>
                </c:pt>
                <c:pt idx="430">
                  <c:v>1.0958665485997421</c:v>
                </c:pt>
                <c:pt idx="431">
                  <c:v>1.0871048428280541</c:v>
                </c:pt>
                <c:pt idx="432">
                  <c:v>1.0908620160727382</c:v>
                </c:pt>
                <c:pt idx="433">
                  <c:v>1.089031220554562</c:v>
                </c:pt>
                <c:pt idx="434">
                  <c:v>1.0839673170376978</c:v>
                </c:pt>
                <c:pt idx="435">
                  <c:v>1.043154016626783</c:v>
                </c:pt>
                <c:pt idx="436">
                  <c:v>1.0243271211887564</c:v>
                </c:pt>
                <c:pt idx="437">
                  <c:v>1.0075079765110098</c:v>
                </c:pt>
                <c:pt idx="438">
                  <c:v>1.0391828673107519</c:v>
                </c:pt>
                <c:pt idx="439">
                  <c:v>1.0598445326543242</c:v>
                </c:pt>
                <c:pt idx="440">
                  <c:v>1.0653101401844856</c:v>
                </c:pt>
                <c:pt idx="441">
                  <c:v>1.0508431828007541</c:v>
                </c:pt>
                <c:pt idx="442">
                  <c:v>1.0686870399627502</c:v>
                </c:pt>
                <c:pt idx="443">
                  <c:v>1.0992817868799407</c:v>
                </c:pt>
                <c:pt idx="444">
                  <c:v>1.1020690138480793</c:v>
                </c:pt>
                <c:pt idx="445">
                  <c:v>1.1000281668312155</c:v>
                </c:pt>
                <c:pt idx="446">
                  <c:v>1.1051362226767703</c:v>
                </c:pt>
                <c:pt idx="447">
                  <c:v>1.114905496448038</c:v>
                </c:pt>
                <c:pt idx="448">
                  <c:v>1.0748125392163486</c:v>
                </c:pt>
                <c:pt idx="449">
                  <c:v>1.0830340097488378</c:v>
                </c:pt>
                <c:pt idx="450">
                  <c:v>1.0621106903388853</c:v>
                </c:pt>
                <c:pt idx="451">
                  <c:v>1.0660531080427087</c:v>
                </c:pt>
                <c:pt idx="452">
                  <c:v>1.0642430144076922</c:v>
                </c:pt>
                <c:pt idx="453">
                  <c:v>1.0824385019633405</c:v>
                </c:pt>
                <c:pt idx="454">
                  <c:v>1.0914761478288457</c:v>
                </c:pt>
                <c:pt idx="455">
                  <c:v>1.0911896348392855</c:v>
                </c:pt>
                <c:pt idx="456">
                  <c:v>1.0640941120005172</c:v>
                </c:pt>
                <c:pt idx="457">
                  <c:v>1.0665697837430477</c:v>
                </c:pt>
                <c:pt idx="458">
                  <c:v>1.0688755379888715</c:v>
                </c:pt>
                <c:pt idx="459">
                  <c:v>1.0956947013304954</c:v>
                </c:pt>
                <c:pt idx="460">
                  <c:v>1.0997026739419109</c:v>
                </c:pt>
                <c:pt idx="461">
                  <c:v>1.0844696827311147</c:v>
                </c:pt>
                <c:pt idx="462">
                  <c:v>1.0706224268202065</c:v>
                </c:pt>
                <c:pt idx="463">
                  <c:v>1.0736055872636538</c:v>
                </c:pt>
                <c:pt idx="464">
                  <c:v>1.0923463510993234</c:v>
                </c:pt>
                <c:pt idx="465">
                  <c:v>1.0959186801462497</c:v>
                </c:pt>
                <c:pt idx="466">
                  <c:v>1.0841964297119495</c:v>
                </c:pt>
                <c:pt idx="467">
                  <c:v>1.1131951659215202</c:v>
                </c:pt>
                <c:pt idx="468">
                  <c:v>1.1259617431955511</c:v>
                </c:pt>
                <c:pt idx="469">
                  <c:v>1.1215334369897398</c:v>
                </c:pt>
                <c:pt idx="470">
                  <c:v>1.1263374774486516</c:v>
                </c:pt>
                <c:pt idx="471">
                  <c:v>1.1223681119251152</c:v>
                </c:pt>
                <c:pt idx="472">
                  <c:v>1.1166810313345312</c:v>
                </c:pt>
                <c:pt idx="473">
                  <c:v>1.12182584918488</c:v>
                </c:pt>
                <c:pt idx="474">
                  <c:v>1.1027540122597332</c:v>
                </c:pt>
                <c:pt idx="475">
                  <c:v>1.1014975432234242</c:v>
                </c:pt>
                <c:pt idx="476">
                  <c:v>1.1117528164346573</c:v>
                </c:pt>
                <c:pt idx="477">
                  <c:v>1.1204567374037091</c:v>
                </c:pt>
                <c:pt idx="478">
                  <c:v>1.0981957036076335</c:v>
                </c:pt>
                <c:pt idx="479">
                  <c:v>1.0980724365908787</c:v>
                </c:pt>
                <c:pt idx="480">
                  <c:v>1.0851752470008211</c:v>
                </c:pt>
                <c:pt idx="481">
                  <c:v>1.1066501417984913</c:v>
                </c:pt>
                <c:pt idx="482">
                  <c:v>1.097179598156627</c:v>
                </c:pt>
                <c:pt idx="483">
                  <c:v>1.097179598156627</c:v>
                </c:pt>
                <c:pt idx="484">
                  <c:v>1.0889917143187406</c:v>
                </c:pt>
                <c:pt idx="485">
                  <c:v>1.1056313928590553</c:v>
                </c:pt>
                <c:pt idx="486">
                  <c:v>1.1189510530878608</c:v>
                </c:pt>
                <c:pt idx="487">
                  <c:v>1.0945487117467554</c:v>
                </c:pt>
                <c:pt idx="488">
                  <c:v>1.084405604890808</c:v>
                </c:pt>
                <c:pt idx="489">
                  <c:v>1.0876819028312754</c:v>
                </c:pt>
                <c:pt idx="490">
                  <c:v>1.096132934282374</c:v>
                </c:pt>
                <c:pt idx="491">
                  <c:v>1.0916573091112936</c:v>
                </c:pt>
                <c:pt idx="492">
                  <c:v>1.0771037213284322</c:v>
                </c:pt>
                <c:pt idx="493">
                  <c:v>1.0985042641553808</c:v>
                </c:pt>
                <c:pt idx="494">
                  <c:v>1.1072568508304421</c:v>
                </c:pt>
                <c:pt idx="495">
                  <c:v>1.110704811105411</c:v>
                </c:pt>
                <c:pt idx="496">
                  <c:v>1.1125005098943754</c:v>
                </c:pt>
                <c:pt idx="497">
                  <c:v>1.1163510263339935</c:v>
                </c:pt>
                <c:pt idx="498">
                  <c:v>1.106477053493697</c:v>
                </c:pt>
                <c:pt idx="499">
                  <c:v>1.1097361513593182</c:v>
                </c:pt>
                <c:pt idx="500">
                  <c:v>1.119894371279111</c:v>
                </c:pt>
                <c:pt idx="501">
                  <c:v>1.1095483097838121</c:v>
                </c:pt>
                <c:pt idx="502">
                  <c:v>1.1095483097838121</c:v>
                </c:pt>
                <c:pt idx="503">
                  <c:v>1.103130337983969</c:v>
                </c:pt>
                <c:pt idx="504">
                  <c:v>1.0953264879009526</c:v>
                </c:pt>
                <c:pt idx="505">
                  <c:v>1.1136605349177513</c:v>
                </c:pt>
                <c:pt idx="506">
                  <c:v>1.1029788218483447</c:v>
                </c:pt>
                <c:pt idx="507">
                  <c:v>1.0976700468862584</c:v>
                </c:pt>
                <c:pt idx="508">
                  <c:v>1.1087758751043064</c:v>
                </c:pt>
                <c:pt idx="509">
                  <c:v>1.1160331250899178</c:v>
                </c:pt>
                <c:pt idx="510">
                  <c:v>1.1079065866627897</c:v>
                </c:pt>
                <c:pt idx="511">
                  <c:v>1.112085483375937</c:v>
                </c:pt>
                <c:pt idx="512">
                  <c:v>1.0801540683933242</c:v>
                </c:pt>
                <c:pt idx="513">
                  <c:v>1.0838004639440229</c:v>
                </c:pt>
                <c:pt idx="514">
                  <c:v>1.0832004644242605</c:v>
                </c:pt>
                <c:pt idx="515">
                  <c:v>1.0980934305085599</c:v>
                </c:pt>
                <c:pt idx="516">
                  <c:v>1.0661850298540059</c:v>
                </c:pt>
                <c:pt idx="517">
                  <c:v>1.0686457238720837</c:v>
                </c:pt>
                <c:pt idx="518">
                  <c:v>1.0618978466802078</c:v>
                </c:pt>
                <c:pt idx="519">
                  <c:v>1.0532331690258792</c:v>
                </c:pt>
                <c:pt idx="520">
                  <c:v>1.0731815878574666</c:v>
                </c:pt>
                <c:pt idx="521">
                  <c:v>1.0701162035468914</c:v>
                </c:pt>
                <c:pt idx="522">
                  <c:v>1.0807075846092555</c:v>
                </c:pt>
                <c:pt idx="523">
                  <c:v>1.075839430736663</c:v>
                </c:pt>
                <c:pt idx="524">
                  <c:v>1.0776252443443681</c:v>
                </c:pt>
                <c:pt idx="525">
                  <c:v>1.0869842284294213</c:v>
                </c:pt>
                <c:pt idx="526">
                  <c:v>1.0877408580160672</c:v>
                </c:pt>
                <c:pt idx="527">
                  <c:v>1.0811664370187892</c:v>
                </c:pt>
                <c:pt idx="528">
                  <c:v>1.0856756650113546</c:v>
                </c:pt>
                <c:pt idx="529">
                  <c:v>1.0828887153317521</c:v>
                </c:pt>
                <c:pt idx="530">
                  <c:v>1.075811515802128</c:v>
                </c:pt>
                <c:pt idx="531">
                  <c:v>1.0739398143169705</c:v>
                </c:pt>
                <c:pt idx="532">
                  <c:v>1.0677470584664515</c:v>
                </c:pt>
                <c:pt idx="533">
                  <c:v>1.0613572770849169</c:v>
                </c:pt>
                <c:pt idx="534">
                  <c:v>1.0619647026454642</c:v>
                </c:pt>
                <c:pt idx="535">
                  <c:v>1.0672759578999687</c:v>
                </c:pt>
                <c:pt idx="536">
                  <c:v>1.0615061475739296</c:v>
                </c:pt>
                <c:pt idx="537">
                  <c:v>1.037471394002591</c:v>
                </c:pt>
                <c:pt idx="538">
                  <c:v>1.0392222874036525</c:v>
                </c:pt>
                <c:pt idx="539">
                  <c:v>1.032265535054318</c:v>
                </c:pt>
                <c:pt idx="540">
                  <c:v>1.0485185937502743</c:v>
                </c:pt>
                <c:pt idx="541">
                  <c:v>1.0651350559311337</c:v>
                </c:pt>
                <c:pt idx="542">
                  <c:v>1.0625246729836921</c:v>
                </c:pt>
                <c:pt idx="543">
                  <c:v>1.0655453087721254</c:v>
                </c:pt>
                <c:pt idx="544">
                  <c:v>1.0474849571791847</c:v>
                </c:pt>
                <c:pt idx="545">
                  <c:v>1.0309476100388832</c:v>
                </c:pt>
                <c:pt idx="546">
                  <c:v>1.0365009916525336</c:v>
                </c:pt>
                <c:pt idx="547">
                  <c:v>1.0383160096129256</c:v>
                </c:pt>
                <c:pt idx="548">
                  <c:v>1.0304755360229469</c:v>
                </c:pt>
                <c:pt idx="549">
                  <c:v>1.0398256626443856</c:v>
                </c:pt>
                <c:pt idx="550">
                  <c:v>1.0236057152556164</c:v>
                </c:pt>
                <c:pt idx="551">
                  <c:v>1.0145782545056119</c:v>
                </c:pt>
                <c:pt idx="552">
                  <c:v>1.0181426878086945</c:v>
                </c:pt>
                <c:pt idx="553">
                  <c:v>1.0116905047365563</c:v>
                </c:pt>
                <c:pt idx="554">
                  <c:v>1.002901914816932</c:v>
                </c:pt>
                <c:pt idx="555">
                  <c:v>0.99406004937420045</c:v>
                </c:pt>
                <c:pt idx="556">
                  <c:v>0.98831729771408283</c:v>
                </c:pt>
                <c:pt idx="557">
                  <c:v>1.0005314486035672</c:v>
                </c:pt>
                <c:pt idx="558">
                  <c:v>0.9877900810983038</c:v>
                </c:pt>
                <c:pt idx="559">
                  <c:v>0.97430685578781162</c:v>
                </c:pt>
                <c:pt idx="560">
                  <c:v>0.99245109323105196</c:v>
                </c:pt>
                <c:pt idx="561">
                  <c:v>0.9600268155247913</c:v>
                </c:pt>
                <c:pt idx="562">
                  <c:v>0.96265949788778071</c:v>
                </c:pt>
                <c:pt idx="563">
                  <c:v>0.9631128027586997</c:v>
                </c:pt>
                <c:pt idx="564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3+4'!$P$2</c:f>
              <c:strCache>
                <c:ptCount val="1"/>
                <c:pt idx="0">
                  <c:v>Shanghai Composite</c:v>
                </c:pt>
              </c:strCache>
            </c:strRef>
          </c:tx>
          <c:spPr>
            <a:ln w="19050" cap="rnd">
              <a:solidFill>
                <a:srgbClr val="555555"/>
              </a:solidFill>
              <a:round/>
            </a:ln>
            <a:effectLst/>
          </c:spPr>
          <c:marker>
            <c:symbol val="none"/>
          </c:marker>
          <c:cat>
            <c:numRef>
              <c:f>'Graf 3+4'!$L$3:$L$567</c:f>
              <c:numCache>
                <c:formatCode>m/d/yyyy</c:formatCode>
                <c:ptCount val="565"/>
                <c:pt idx="0">
                  <c:v>42824</c:v>
                </c:pt>
                <c:pt idx="1">
                  <c:v>42823</c:v>
                </c:pt>
                <c:pt idx="2">
                  <c:v>42822</c:v>
                </c:pt>
                <c:pt idx="3">
                  <c:v>42821</c:v>
                </c:pt>
                <c:pt idx="4">
                  <c:v>42818</c:v>
                </c:pt>
                <c:pt idx="5">
                  <c:v>42817</c:v>
                </c:pt>
                <c:pt idx="6">
                  <c:v>42816</c:v>
                </c:pt>
                <c:pt idx="7">
                  <c:v>42815</c:v>
                </c:pt>
                <c:pt idx="8">
                  <c:v>42814</c:v>
                </c:pt>
                <c:pt idx="9">
                  <c:v>42811</c:v>
                </c:pt>
                <c:pt idx="10">
                  <c:v>42810</c:v>
                </c:pt>
                <c:pt idx="11">
                  <c:v>42809</c:v>
                </c:pt>
                <c:pt idx="12">
                  <c:v>42808</c:v>
                </c:pt>
                <c:pt idx="13">
                  <c:v>42807</c:v>
                </c:pt>
                <c:pt idx="14">
                  <c:v>42804</c:v>
                </c:pt>
                <c:pt idx="15">
                  <c:v>42803</c:v>
                </c:pt>
                <c:pt idx="16">
                  <c:v>42802</c:v>
                </c:pt>
                <c:pt idx="17">
                  <c:v>42801</c:v>
                </c:pt>
                <c:pt idx="18">
                  <c:v>42800</c:v>
                </c:pt>
                <c:pt idx="19">
                  <c:v>42797</c:v>
                </c:pt>
                <c:pt idx="20">
                  <c:v>42796</c:v>
                </c:pt>
                <c:pt idx="21">
                  <c:v>42795</c:v>
                </c:pt>
                <c:pt idx="22">
                  <c:v>42794</c:v>
                </c:pt>
                <c:pt idx="23">
                  <c:v>42793</c:v>
                </c:pt>
                <c:pt idx="24">
                  <c:v>42790</c:v>
                </c:pt>
                <c:pt idx="25">
                  <c:v>42789</c:v>
                </c:pt>
                <c:pt idx="26">
                  <c:v>42788</c:v>
                </c:pt>
                <c:pt idx="27">
                  <c:v>42787</c:v>
                </c:pt>
                <c:pt idx="28">
                  <c:v>42783</c:v>
                </c:pt>
                <c:pt idx="29">
                  <c:v>42782</c:v>
                </c:pt>
                <c:pt idx="30">
                  <c:v>42781</c:v>
                </c:pt>
                <c:pt idx="31">
                  <c:v>42780</c:v>
                </c:pt>
                <c:pt idx="32">
                  <c:v>42779</c:v>
                </c:pt>
                <c:pt idx="33">
                  <c:v>42776</c:v>
                </c:pt>
                <c:pt idx="34">
                  <c:v>42775</c:v>
                </c:pt>
                <c:pt idx="35">
                  <c:v>42774</c:v>
                </c:pt>
                <c:pt idx="36">
                  <c:v>42773</c:v>
                </c:pt>
                <c:pt idx="37">
                  <c:v>42772</c:v>
                </c:pt>
                <c:pt idx="38">
                  <c:v>42769</c:v>
                </c:pt>
                <c:pt idx="39">
                  <c:v>42768</c:v>
                </c:pt>
                <c:pt idx="40">
                  <c:v>42767</c:v>
                </c:pt>
                <c:pt idx="41">
                  <c:v>42766</c:v>
                </c:pt>
                <c:pt idx="42">
                  <c:v>42765</c:v>
                </c:pt>
                <c:pt idx="43">
                  <c:v>42762</c:v>
                </c:pt>
                <c:pt idx="44">
                  <c:v>42761</c:v>
                </c:pt>
                <c:pt idx="45">
                  <c:v>42760</c:v>
                </c:pt>
                <c:pt idx="46">
                  <c:v>42759</c:v>
                </c:pt>
                <c:pt idx="47">
                  <c:v>42758</c:v>
                </c:pt>
                <c:pt idx="48">
                  <c:v>42755</c:v>
                </c:pt>
                <c:pt idx="49">
                  <c:v>42754</c:v>
                </c:pt>
                <c:pt idx="50">
                  <c:v>42753</c:v>
                </c:pt>
                <c:pt idx="51">
                  <c:v>42752</c:v>
                </c:pt>
                <c:pt idx="52">
                  <c:v>42748</c:v>
                </c:pt>
                <c:pt idx="53">
                  <c:v>42747</c:v>
                </c:pt>
                <c:pt idx="54">
                  <c:v>42746</c:v>
                </c:pt>
                <c:pt idx="55">
                  <c:v>42745</c:v>
                </c:pt>
                <c:pt idx="56">
                  <c:v>42744</c:v>
                </c:pt>
                <c:pt idx="57">
                  <c:v>42741</c:v>
                </c:pt>
                <c:pt idx="58">
                  <c:v>42740</c:v>
                </c:pt>
                <c:pt idx="59">
                  <c:v>42739</c:v>
                </c:pt>
                <c:pt idx="60">
                  <c:v>42738</c:v>
                </c:pt>
                <c:pt idx="61">
                  <c:v>42734</c:v>
                </c:pt>
                <c:pt idx="62">
                  <c:v>42733</c:v>
                </c:pt>
                <c:pt idx="63">
                  <c:v>42732</c:v>
                </c:pt>
                <c:pt idx="64">
                  <c:v>42731</c:v>
                </c:pt>
                <c:pt idx="65">
                  <c:v>42727</c:v>
                </c:pt>
                <c:pt idx="66">
                  <c:v>42726</c:v>
                </c:pt>
                <c:pt idx="67">
                  <c:v>42725</c:v>
                </c:pt>
                <c:pt idx="68">
                  <c:v>42724</c:v>
                </c:pt>
                <c:pt idx="69">
                  <c:v>42723</c:v>
                </c:pt>
                <c:pt idx="70">
                  <c:v>42720</c:v>
                </c:pt>
                <c:pt idx="71">
                  <c:v>42719</c:v>
                </c:pt>
                <c:pt idx="72">
                  <c:v>42718</c:v>
                </c:pt>
                <c:pt idx="73">
                  <c:v>42717</c:v>
                </c:pt>
                <c:pt idx="74">
                  <c:v>42716</c:v>
                </c:pt>
                <c:pt idx="75">
                  <c:v>42713</c:v>
                </c:pt>
                <c:pt idx="76">
                  <c:v>42712</c:v>
                </c:pt>
                <c:pt idx="77">
                  <c:v>42711</c:v>
                </c:pt>
                <c:pt idx="78">
                  <c:v>42710</c:v>
                </c:pt>
                <c:pt idx="79">
                  <c:v>42709</c:v>
                </c:pt>
                <c:pt idx="80">
                  <c:v>42706</c:v>
                </c:pt>
                <c:pt idx="81">
                  <c:v>42705</c:v>
                </c:pt>
                <c:pt idx="82">
                  <c:v>42704</c:v>
                </c:pt>
                <c:pt idx="83">
                  <c:v>42703</c:v>
                </c:pt>
                <c:pt idx="84">
                  <c:v>42702</c:v>
                </c:pt>
                <c:pt idx="85">
                  <c:v>42699</c:v>
                </c:pt>
                <c:pt idx="86">
                  <c:v>42697</c:v>
                </c:pt>
                <c:pt idx="87">
                  <c:v>42696</c:v>
                </c:pt>
                <c:pt idx="88">
                  <c:v>42695</c:v>
                </c:pt>
                <c:pt idx="89">
                  <c:v>42692</c:v>
                </c:pt>
                <c:pt idx="90">
                  <c:v>42691</c:v>
                </c:pt>
                <c:pt idx="91">
                  <c:v>42690</c:v>
                </c:pt>
                <c:pt idx="92">
                  <c:v>42689</c:v>
                </c:pt>
                <c:pt idx="93">
                  <c:v>42688</c:v>
                </c:pt>
                <c:pt idx="94">
                  <c:v>42685</c:v>
                </c:pt>
                <c:pt idx="95">
                  <c:v>42684</c:v>
                </c:pt>
                <c:pt idx="96">
                  <c:v>42683</c:v>
                </c:pt>
                <c:pt idx="97">
                  <c:v>42682</c:v>
                </c:pt>
                <c:pt idx="98">
                  <c:v>42681</c:v>
                </c:pt>
                <c:pt idx="99">
                  <c:v>42678</c:v>
                </c:pt>
                <c:pt idx="100">
                  <c:v>42677</c:v>
                </c:pt>
                <c:pt idx="101">
                  <c:v>42676</c:v>
                </c:pt>
                <c:pt idx="102">
                  <c:v>42675</c:v>
                </c:pt>
                <c:pt idx="103">
                  <c:v>42674</c:v>
                </c:pt>
                <c:pt idx="104">
                  <c:v>42671</c:v>
                </c:pt>
                <c:pt idx="105">
                  <c:v>42670</c:v>
                </c:pt>
                <c:pt idx="106">
                  <c:v>42669</c:v>
                </c:pt>
                <c:pt idx="107">
                  <c:v>42668</c:v>
                </c:pt>
                <c:pt idx="108">
                  <c:v>42667</c:v>
                </c:pt>
                <c:pt idx="109">
                  <c:v>42664</c:v>
                </c:pt>
                <c:pt idx="110">
                  <c:v>42663</c:v>
                </c:pt>
                <c:pt idx="111">
                  <c:v>42662</c:v>
                </c:pt>
                <c:pt idx="112">
                  <c:v>42661</c:v>
                </c:pt>
                <c:pt idx="113">
                  <c:v>42660</c:v>
                </c:pt>
                <c:pt idx="114">
                  <c:v>42657</c:v>
                </c:pt>
                <c:pt idx="115">
                  <c:v>42656</c:v>
                </c:pt>
                <c:pt idx="116">
                  <c:v>42655</c:v>
                </c:pt>
                <c:pt idx="117">
                  <c:v>42654</c:v>
                </c:pt>
                <c:pt idx="118">
                  <c:v>42653</c:v>
                </c:pt>
                <c:pt idx="119">
                  <c:v>42650</c:v>
                </c:pt>
                <c:pt idx="120">
                  <c:v>42649</c:v>
                </c:pt>
                <c:pt idx="121">
                  <c:v>42648</c:v>
                </c:pt>
                <c:pt idx="122">
                  <c:v>42647</c:v>
                </c:pt>
                <c:pt idx="123">
                  <c:v>42646</c:v>
                </c:pt>
                <c:pt idx="124">
                  <c:v>42643</c:v>
                </c:pt>
                <c:pt idx="125">
                  <c:v>42642</c:v>
                </c:pt>
                <c:pt idx="126">
                  <c:v>42641</c:v>
                </c:pt>
                <c:pt idx="127">
                  <c:v>42640</c:v>
                </c:pt>
                <c:pt idx="128">
                  <c:v>42639</c:v>
                </c:pt>
                <c:pt idx="129">
                  <c:v>42636</c:v>
                </c:pt>
                <c:pt idx="130">
                  <c:v>42635</c:v>
                </c:pt>
                <c:pt idx="131">
                  <c:v>42634</c:v>
                </c:pt>
                <c:pt idx="132">
                  <c:v>42633</c:v>
                </c:pt>
                <c:pt idx="133">
                  <c:v>42632</c:v>
                </c:pt>
                <c:pt idx="134">
                  <c:v>42629</c:v>
                </c:pt>
                <c:pt idx="135">
                  <c:v>42628</c:v>
                </c:pt>
                <c:pt idx="136">
                  <c:v>42627</c:v>
                </c:pt>
                <c:pt idx="137">
                  <c:v>42626</c:v>
                </c:pt>
                <c:pt idx="138">
                  <c:v>42625</c:v>
                </c:pt>
                <c:pt idx="139">
                  <c:v>42622</c:v>
                </c:pt>
                <c:pt idx="140">
                  <c:v>42621</c:v>
                </c:pt>
                <c:pt idx="141">
                  <c:v>42620</c:v>
                </c:pt>
                <c:pt idx="142">
                  <c:v>42619</c:v>
                </c:pt>
                <c:pt idx="143">
                  <c:v>42615</c:v>
                </c:pt>
                <c:pt idx="144">
                  <c:v>42614</c:v>
                </c:pt>
                <c:pt idx="145">
                  <c:v>42613</c:v>
                </c:pt>
                <c:pt idx="146">
                  <c:v>42612</c:v>
                </c:pt>
                <c:pt idx="147">
                  <c:v>42611</c:v>
                </c:pt>
                <c:pt idx="148">
                  <c:v>42608</c:v>
                </c:pt>
                <c:pt idx="149">
                  <c:v>42607</c:v>
                </c:pt>
                <c:pt idx="150">
                  <c:v>42606</c:v>
                </c:pt>
                <c:pt idx="151">
                  <c:v>42605</c:v>
                </c:pt>
                <c:pt idx="152">
                  <c:v>42604</c:v>
                </c:pt>
                <c:pt idx="153">
                  <c:v>42601</c:v>
                </c:pt>
                <c:pt idx="154">
                  <c:v>42600</c:v>
                </c:pt>
                <c:pt idx="155">
                  <c:v>42599</c:v>
                </c:pt>
                <c:pt idx="156">
                  <c:v>42598</c:v>
                </c:pt>
                <c:pt idx="157">
                  <c:v>42597</c:v>
                </c:pt>
                <c:pt idx="158">
                  <c:v>42594</c:v>
                </c:pt>
                <c:pt idx="159">
                  <c:v>42593</c:v>
                </c:pt>
                <c:pt idx="160">
                  <c:v>42592</c:v>
                </c:pt>
                <c:pt idx="161">
                  <c:v>42591</c:v>
                </c:pt>
                <c:pt idx="162">
                  <c:v>42590</c:v>
                </c:pt>
                <c:pt idx="163">
                  <c:v>42587</c:v>
                </c:pt>
                <c:pt idx="164">
                  <c:v>42586</c:v>
                </c:pt>
                <c:pt idx="165">
                  <c:v>42585</c:v>
                </c:pt>
                <c:pt idx="166">
                  <c:v>42584</c:v>
                </c:pt>
                <c:pt idx="167">
                  <c:v>42583</c:v>
                </c:pt>
                <c:pt idx="168">
                  <c:v>42580</c:v>
                </c:pt>
                <c:pt idx="169">
                  <c:v>42579</c:v>
                </c:pt>
                <c:pt idx="170">
                  <c:v>42578</c:v>
                </c:pt>
                <c:pt idx="171">
                  <c:v>42577</c:v>
                </c:pt>
                <c:pt idx="172">
                  <c:v>42576</c:v>
                </c:pt>
                <c:pt idx="173">
                  <c:v>42573</c:v>
                </c:pt>
                <c:pt idx="174">
                  <c:v>42572</c:v>
                </c:pt>
                <c:pt idx="175">
                  <c:v>42571</c:v>
                </c:pt>
                <c:pt idx="176">
                  <c:v>42570</c:v>
                </c:pt>
                <c:pt idx="177">
                  <c:v>42569</c:v>
                </c:pt>
                <c:pt idx="178">
                  <c:v>42566</c:v>
                </c:pt>
                <c:pt idx="179">
                  <c:v>42565</c:v>
                </c:pt>
                <c:pt idx="180">
                  <c:v>42564</c:v>
                </c:pt>
                <c:pt idx="181">
                  <c:v>42563</c:v>
                </c:pt>
                <c:pt idx="182">
                  <c:v>42562</c:v>
                </c:pt>
                <c:pt idx="183">
                  <c:v>42559</c:v>
                </c:pt>
                <c:pt idx="184">
                  <c:v>42558</c:v>
                </c:pt>
                <c:pt idx="185">
                  <c:v>42557</c:v>
                </c:pt>
                <c:pt idx="186">
                  <c:v>42556</c:v>
                </c:pt>
                <c:pt idx="187">
                  <c:v>42552</c:v>
                </c:pt>
                <c:pt idx="188">
                  <c:v>42551</c:v>
                </c:pt>
                <c:pt idx="189">
                  <c:v>42550</c:v>
                </c:pt>
                <c:pt idx="190">
                  <c:v>42549</c:v>
                </c:pt>
                <c:pt idx="191">
                  <c:v>42548</c:v>
                </c:pt>
                <c:pt idx="192">
                  <c:v>42545</c:v>
                </c:pt>
                <c:pt idx="193">
                  <c:v>42544</c:v>
                </c:pt>
                <c:pt idx="194">
                  <c:v>42543</c:v>
                </c:pt>
                <c:pt idx="195">
                  <c:v>42542</c:v>
                </c:pt>
                <c:pt idx="196">
                  <c:v>42541</c:v>
                </c:pt>
                <c:pt idx="197">
                  <c:v>42538</c:v>
                </c:pt>
                <c:pt idx="198">
                  <c:v>42537</c:v>
                </c:pt>
                <c:pt idx="199">
                  <c:v>42536</c:v>
                </c:pt>
                <c:pt idx="200">
                  <c:v>42535</c:v>
                </c:pt>
                <c:pt idx="201">
                  <c:v>42534</c:v>
                </c:pt>
                <c:pt idx="202">
                  <c:v>42531</c:v>
                </c:pt>
                <c:pt idx="203">
                  <c:v>42530</c:v>
                </c:pt>
                <c:pt idx="204">
                  <c:v>42529</c:v>
                </c:pt>
                <c:pt idx="205">
                  <c:v>42528</c:v>
                </c:pt>
                <c:pt idx="206">
                  <c:v>42527</c:v>
                </c:pt>
                <c:pt idx="207">
                  <c:v>42524</c:v>
                </c:pt>
                <c:pt idx="208">
                  <c:v>42523</c:v>
                </c:pt>
                <c:pt idx="209">
                  <c:v>42522</c:v>
                </c:pt>
                <c:pt idx="210">
                  <c:v>42521</c:v>
                </c:pt>
                <c:pt idx="211">
                  <c:v>42517</c:v>
                </c:pt>
                <c:pt idx="212">
                  <c:v>42516</c:v>
                </c:pt>
                <c:pt idx="213">
                  <c:v>42515</c:v>
                </c:pt>
                <c:pt idx="214">
                  <c:v>42514</c:v>
                </c:pt>
                <c:pt idx="215">
                  <c:v>42513</c:v>
                </c:pt>
                <c:pt idx="216">
                  <c:v>42510</c:v>
                </c:pt>
                <c:pt idx="217">
                  <c:v>42509</c:v>
                </c:pt>
                <c:pt idx="218">
                  <c:v>42508</c:v>
                </c:pt>
                <c:pt idx="219">
                  <c:v>42507</c:v>
                </c:pt>
                <c:pt idx="220">
                  <c:v>42506</c:v>
                </c:pt>
                <c:pt idx="221">
                  <c:v>42503</c:v>
                </c:pt>
                <c:pt idx="222">
                  <c:v>42502</c:v>
                </c:pt>
                <c:pt idx="223">
                  <c:v>42501</c:v>
                </c:pt>
                <c:pt idx="224">
                  <c:v>42500</c:v>
                </c:pt>
                <c:pt idx="225">
                  <c:v>42499</c:v>
                </c:pt>
                <c:pt idx="226">
                  <c:v>42496</c:v>
                </c:pt>
                <c:pt idx="227">
                  <c:v>42495</c:v>
                </c:pt>
                <c:pt idx="228">
                  <c:v>42494</c:v>
                </c:pt>
                <c:pt idx="229">
                  <c:v>42493</c:v>
                </c:pt>
                <c:pt idx="230">
                  <c:v>42492</c:v>
                </c:pt>
                <c:pt idx="231">
                  <c:v>42489</c:v>
                </c:pt>
                <c:pt idx="232">
                  <c:v>42488</c:v>
                </c:pt>
                <c:pt idx="233">
                  <c:v>42487</c:v>
                </c:pt>
                <c:pt idx="234">
                  <c:v>42486</c:v>
                </c:pt>
                <c:pt idx="235">
                  <c:v>42485</c:v>
                </c:pt>
                <c:pt idx="236">
                  <c:v>42482</c:v>
                </c:pt>
                <c:pt idx="237">
                  <c:v>42481</c:v>
                </c:pt>
                <c:pt idx="238">
                  <c:v>42480</c:v>
                </c:pt>
                <c:pt idx="239">
                  <c:v>42479</c:v>
                </c:pt>
                <c:pt idx="240">
                  <c:v>42478</c:v>
                </c:pt>
                <c:pt idx="241">
                  <c:v>42475</c:v>
                </c:pt>
                <c:pt idx="242">
                  <c:v>42474</c:v>
                </c:pt>
                <c:pt idx="243">
                  <c:v>42473</c:v>
                </c:pt>
                <c:pt idx="244">
                  <c:v>42472</c:v>
                </c:pt>
                <c:pt idx="245">
                  <c:v>42471</c:v>
                </c:pt>
                <c:pt idx="246">
                  <c:v>42468</c:v>
                </c:pt>
                <c:pt idx="247">
                  <c:v>42467</c:v>
                </c:pt>
                <c:pt idx="248">
                  <c:v>42466</c:v>
                </c:pt>
                <c:pt idx="249">
                  <c:v>42465</c:v>
                </c:pt>
                <c:pt idx="250">
                  <c:v>42464</c:v>
                </c:pt>
                <c:pt idx="251">
                  <c:v>42461</c:v>
                </c:pt>
                <c:pt idx="252">
                  <c:v>42460</c:v>
                </c:pt>
                <c:pt idx="253">
                  <c:v>42459</c:v>
                </c:pt>
                <c:pt idx="254">
                  <c:v>42458</c:v>
                </c:pt>
                <c:pt idx="255">
                  <c:v>42457</c:v>
                </c:pt>
                <c:pt idx="256">
                  <c:v>42453</c:v>
                </c:pt>
                <c:pt idx="257">
                  <c:v>42452</c:v>
                </c:pt>
                <c:pt idx="258">
                  <c:v>42451</c:v>
                </c:pt>
                <c:pt idx="259">
                  <c:v>42450</c:v>
                </c:pt>
                <c:pt idx="260">
                  <c:v>42447</c:v>
                </c:pt>
                <c:pt idx="261">
                  <c:v>42446</c:v>
                </c:pt>
                <c:pt idx="262">
                  <c:v>42445</c:v>
                </c:pt>
                <c:pt idx="263">
                  <c:v>42444</c:v>
                </c:pt>
                <c:pt idx="264">
                  <c:v>42443</c:v>
                </c:pt>
                <c:pt idx="265">
                  <c:v>42440</c:v>
                </c:pt>
                <c:pt idx="266">
                  <c:v>42439</c:v>
                </c:pt>
                <c:pt idx="267">
                  <c:v>42438</c:v>
                </c:pt>
                <c:pt idx="268">
                  <c:v>42437</c:v>
                </c:pt>
                <c:pt idx="269">
                  <c:v>42436</c:v>
                </c:pt>
                <c:pt idx="270">
                  <c:v>42433</c:v>
                </c:pt>
                <c:pt idx="271">
                  <c:v>42432</c:v>
                </c:pt>
                <c:pt idx="272">
                  <c:v>42431</c:v>
                </c:pt>
                <c:pt idx="273">
                  <c:v>42430</c:v>
                </c:pt>
                <c:pt idx="274">
                  <c:v>42429</c:v>
                </c:pt>
                <c:pt idx="275">
                  <c:v>42426</c:v>
                </c:pt>
                <c:pt idx="276">
                  <c:v>42425</c:v>
                </c:pt>
                <c:pt idx="277">
                  <c:v>42424</c:v>
                </c:pt>
                <c:pt idx="278">
                  <c:v>42423</c:v>
                </c:pt>
                <c:pt idx="279">
                  <c:v>42422</c:v>
                </c:pt>
                <c:pt idx="280">
                  <c:v>42419</c:v>
                </c:pt>
                <c:pt idx="281">
                  <c:v>42418</c:v>
                </c:pt>
                <c:pt idx="282">
                  <c:v>42417</c:v>
                </c:pt>
                <c:pt idx="283">
                  <c:v>42416</c:v>
                </c:pt>
                <c:pt idx="284">
                  <c:v>42412</c:v>
                </c:pt>
                <c:pt idx="285">
                  <c:v>42411</c:v>
                </c:pt>
                <c:pt idx="286">
                  <c:v>42410</c:v>
                </c:pt>
                <c:pt idx="287">
                  <c:v>42409</c:v>
                </c:pt>
                <c:pt idx="288">
                  <c:v>42408</c:v>
                </c:pt>
                <c:pt idx="289">
                  <c:v>42405</c:v>
                </c:pt>
                <c:pt idx="290">
                  <c:v>42404</c:v>
                </c:pt>
                <c:pt idx="291">
                  <c:v>42403</c:v>
                </c:pt>
                <c:pt idx="292">
                  <c:v>42402</c:v>
                </c:pt>
                <c:pt idx="293">
                  <c:v>42401</c:v>
                </c:pt>
                <c:pt idx="294">
                  <c:v>42398</c:v>
                </c:pt>
                <c:pt idx="295">
                  <c:v>42397</c:v>
                </c:pt>
                <c:pt idx="296">
                  <c:v>42396</c:v>
                </c:pt>
                <c:pt idx="297">
                  <c:v>42395</c:v>
                </c:pt>
                <c:pt idx="298">
                  <c:v>42394</c:v>
                </c:pt>
                <c:pt idx="299">
                  <c:v>42391</c:v>
                </c:pt>
                <c:pt idx="300">
                  <c:v>42390</c:v>
                </c:pt>
                <c:pt idx="301">
                  <c:v>42389</c:v>
                </c:pt>
                <c:pt idx="302">
                  <c:v>42388</c:v>
                </c:pt>
                <c:pt idx="303">
                  <c:v>42384</c:v>
                </c:pt>
                <c:pt idx="304">
                  <c:v>42383</c:v>
                </c:pt>
                <c:pt idx="305">
                  <c:v>42382</c:v>
                </c:pt>
                <c:pt idx="306">
                  <c:v>42381</c:v>
                </c:pt>
                <c:pt idx="307">
                  <c:v>42380</c:v>
                </c:pt>
                <c:pt idx="308">
                  <c:v>42377</c:v>
                </c:pt>
                <c:pt idx="309">
                  <c:v>42376</c:v>
                </c:pt>
                <c:pt idx="310">
                  <c:v>42375</c:v>
                </c:pt>
                <c:pt idx="311">
                  <c:v>42374</c:v>
                </c:pt>
                <c:pt idx="312">
                  <c:v>42373</c:v>
                </c:pt>
                <c:pt idx="313">
                  <c:v>42369</c:v>
                </c:pt>
                <c:pt idx="314">
                  <c:v>42368</c:v>
                </c:pt>
                <c:pt idx="315">
                  <c:v>42367</c:v>
                </c:pt>
                <c:pt idx="316">
                  <c:v>42366</c:v>
                </c:pt>
                <c:pt idx="317">
                  <c:v>42362</c:v>
                </c:pt>
                <c:pt idx="318">
                  <c:v>42361</c:v>
                </c:pt>
                <c:pt idx="319">
                  <c:v>42360</c:v>
                </c:pt>
                <c:pt idx="320">
                  <c:v>42359</c:v>
                </c:pt>
                <c:pt idx="321">
                  <c:v>42356</c:v>
                </c:pt>
                <c:pt idx="322">
                  <c:v>42355</c:v>
                </c:pt>
                <c:pt idx="323">
                  <c:v>42354</c:v>
                </c:pt>
                <c:pt idx="324">
                  <c:v>42353</c:v>
                </c:pt>
                <c:pt idx="325">
                  <c:v>42352</c:v>
                </c:pt>
                <c:pt idx="326">
                  <c:v>42349</c:v>
                </c:pt>
                <c:pt idx="327">
                  <c:v>42348</c:v>
                </c:pt>
                <c:pt idx="328">
                  <c:v>42347</c:v>
                </c:pt>
                <c:pt idx="329">
                  <c:v>42346</c:v>
                </c:pt>
                <c:pt idx="330">
                  <c:v>42345</c:v>
                </c:pt>
                <c:pt idx="331">
                  <c:v>42342</c:v>
                </c:pt>
                <c:pt idx="332">
                  <c:v>42341</c:v>
                </c:pt>
                <c:pt idx="333">
                  <c:v>42340</c:v>
                </c:pt>
                <c:pt idx="334">
                  <c:v>42339</c:v>
                </c:pt>
                <c:pt idx="335">
                  <c:v>42338</c:v>
                </c:pt>
                <c:pt idx="336">
                  <c:v>42335</c:v>
                </c:pt>
                <c:pt idx="337">
                  <c:v>42333</c:v>
                </c:pt>
                <c:pt idx="338">
                  <c:v>42332</c:v>
                </c:pt>
                <c:pt idx="339">
                  <c:v>42331</c:v>
                </c:pt>
                <c:pt idx="340">
                  <c:v>42328</c:v>
                </c:pt>
                <c:pt idx="341">
                  <c:v>42327</c:v>
                </c:pt>
                <c:pt idx="342">
                  <c:v>42326</c:v>
                </c:pt>
                <c:pt idx="343">
                  <c:v>42325</c:v>
                </c:pt>
                <c:pt idx="344">
                  <c:v>42324</c:v>
                </c:pt>
                <c:pt idx="345">
                  <c:v>42321</c:v>
                </c:pt>
                <c:pt idx="346">
                  <c:v>42320</c:v>
                </c:pt>
                <c:pt idx="347">
                  <c:v>42319</c:v>
                </c:pt>
                <c:pt idx="348">
                  <c:v>42318</c:v>
                </c:pt>
                <c:pt idx="349">
                  <c:v>42317</c:v>
                </c:pt>
                <c:pt idx="350">
                  <c:v>42314</c:v>
                </c:pt>
                <c:pt idx="351">
                  <c:v>42313</c:v>
                </c:pt>
                <c:pt idx="352">
                  <c:v>42312</c:v>
                </c:pt>
                <c:pt idx="353">
                  <c:v>42311</c:v>
                </c:pt>
                <c:pt idx="354">
                  <c:v>42310</c:v>
                </c:pt>
                <c:pt idx="355">
                  <c:v>42307</c:v>
                </c:pt>
                <c:pt idx="356">
                  <c:v>42306</c:v>
                </c:pt>
                <c:pt idx="357">
                  <c:v>42305</c:v>
                </c:pt>
                <c:pt idx="358">
                  <c:v>42304</c:v>
                </c:pt>
                <c:pt idx="359">
                  <c:v>42303</c:v>
                </c:pt>
                <c:pt idx="360">
                  <c:v>42300</c:v>
                </c:pt>
                <c:pt idx="361">
                  <c:v>42299</c:v>
                </c:pt>
                <c:pt idx="362">
                  <c:v>42298</c:v>
                </c:pt>
                <c:pt idx="363">
                  <c:v>42297</c:v>
                </c:pt>
                <c:pt idx="364">
                  <c:v>42296</c:v>
                </c:pt>
                <c:pt idx="365">
                  <c:v>42293</c:v>
                </c:pt>
                <c:pt idx="366">
                  <c:v>42292</c:v>
                </c:pt>
                <c:pt idx="367">
                  <c:v>42291</c:v>
                </c:pt>
                <c:pt idx="368">
                  <c:v>42290</c:v>
                </c:pt>
                <c:pt idx="369">
                  <c:v>42289</c:v>
                </c:pt>
                <c:pt idx="370">
                  <c:v>42286</c:v>
                </c:pt>
                <c:pt idx="371">
                  <c:v>42285</c:v>
                </c:pt>
                <c:pt idx="372">
                  <c:v>42284</c:v>
                </c:pt>
                <c:pt idx="373">
                  <c:v>42283</c:v>
                </c:pt>
                <c:pt idx="374">
                  <c:v>42282</c:v>
                </c:pt>
                <c:pt idx="375">
                  <c:v>42279</c:v>
                </c:pt>
                <c:pt idx="376">
                  <c:v>42278</c:v>
                </c:pt>
                <c:pt idx="377">
                  <c:v>42277</c:v>
                </c:pt>
                <c:pt idx="378">
                  <c:v>42276</c:v>
                </c:pt>
                <c:pt idx="379">
                  <c:v>42275</c:v>
                </c:pt>
                <c:pt idx="380">
                  <c:v>42272</c:v>
                </c:pt>
                <c:pt idx="381">
                  <c:v>42271</c:v>
                </c:pt>
                <c:pt idx="382">
                  <c:v>42270</c:v>
                </c:pt>
                <c:pt idx="383">
                  <c:v>42269</c:v>
                </c:pt>
                <c:pt idx="384">
                  <c:v>42268</c:v>
                </c:pt>
                <c:pt idx="385">
                  <c:v>42265</c:v>
                </c:pt>
                <c:pt idx="386">
                  <c:v>42264</c:v>
                </c:pt>
                <c:pt idx="387">
                  <c:v>42263</c:v>
                </c:pt>
                <c:pt idx="388">
                  <c:v>42262</c:v>
                </c:pt>
                <c:pt idx="389">
                  <c:v>42261</c:v>
                </c:pt>
                <c:pt idx="390">
                  <c:v>42258</c:v>
                </c:pt>
                <c:pt idx="391">
                  <c:v>42257</c:v>
                </c:pt>
                <c:pt idx="392">
                  <c:v>42256</c:v>
                </c:pt>
                <c:pt idx="393">
                  <c:v>42255</c:v>
                </c:pt>
                <c:pt idx="394">
                  <c:v>42251</c:v>
                </c:pt>
                <c:pt idx="395">
                  <c:v>42250</c:v>
                </c:pt>
                <c:pt idx="396">
                  <c:v>42249</c:v>
                </c:pt>
                <c:pt idx="397">
                  <c:v>42248</c:v>
                </c:pt>
                <c:pt idx="398">
                  <c:v>42247</c:v>
                </c:pt>
                <c:pt idx="399">
                  <c:v>42244</c:v>
                </c:pt>
                <c:pt idx="400">
                  <c:v>42243</c:v>
                </c:pt>
                <c:pt idx="401">
                  <c:v>42242</c:v>
                </c:pt>
                <c:pt idx="402">
                  <c:v>42241</c:v>
                </c:pt>
                <c:pt idx="403">
                  <c:v>42240</c:v>
                </c:pt>
                <c:pt idx="404">
                  <c:v>42237</c:v>
                </c:pt>
                <c:pt idx="405">
                  <c:v>42236</c:v>
                </c:pt>
                <c:pt idx="406">
                  <c:v>42235</c:v>
                </c:pt>
                <c:pt idx="407">
                  <c:v>42234</c:v>
                </c:pt>
                <c:pt idx="408">
                  <c:v>42233</c:v>
                </c:pt>
                <c:pt idx="409">
                  <c:v>42230</c:v>
                </c:pt>
                <c:pt idx="410">
                  <c:v>42229</c:v>
                </c:pt>
                <c:pt idx="411">
                  <c:v>42228</c:v>
                </c:pt>
                <c:pt idx="412">
                  <c:v>42227</c:v>
                </c:pt>
                <c:pt idx="413">
                  <c:v>42226</c:v>
                </c:pt>
                <c:pt idx="414">
                  <c:v>42223</c:v>
                </c:pt>
                <c:pt idx="415">
                  <c:v>42222</c:v>
                </c:pt>
                <c:pt idx="416">
                  <c:v>42221</c:v>
                </c:pt>
                <c:pt idx="417">
                  <c:v>42220</c:v>
                </c:pt>
                <c:pt idx="418">
                  <c:v>42219</c:v>
                </c:pt>
                <c:pt idx="419">
                  <c:v>42216</c:v>
                </c:pt>
                <c:pt idx="420">
                  <c:v>42215</c:v>
                </c:pt>
                <c:pt idx="421">
                  <c:v>42214</c:v>
                </c:pt>
                <c:pt idx="422">
                  <c:v>42213</c:v>
                </c:pt>
                <c:pt idx="423">
                  <c:v>42212</c:v>
                </c:pt>
                <c:pt idx="424">
                  <c:v>42209</c:v>
                </c:pt>
                <c:pt idx="425">
                  <c:v>42208</c:v>
                </c:pt>
                <c:pt idx="426">
                  <c:v>42207</c:v>
                </c:pt>
                <c:pt idx="427">
                  <c:v>42206</c:v>
                </c:pt>
                <c:pt idx="428">
                  <c:v>42205</c:v>
                </c:pt>
                <c:pt idx="429">
                  <c:v>42202</c:v>
                </c:pt>
                <c:pt idx="430">
                  <c:v>42201</c:v>
                </c:pt>
                <c:pt idx="431">
                  <c:v>42200</c:v>
                </c:pt>
                <c:pt idx="432">
                  <c:v>42199</c:v>
                </c:pt>
                <c:pt idx="433">
                  <c:v>42198</c:v>
                </c:pt>
                <c:pt idx="434">
                  <c:v>42195</c:v>
                </c:pt>
                <c:pt idx="435">
                  <c:v>42194</c:v>
                </c:pt>
                <c:pt idx="436">
                  <c:v>42193</c:v>
                </c:pt>
                <c:pt idx="437">
                  <c:v>42192</c:v>
                </c:pt>
                <c:pt idx="438">
                  <c:v>42191</c:v>
                </c:pt>
                <c:pt idx="439">
                  <c:v>42187</c:v>
                </c:pt>
                <c:pt idx="440">
                  <c:v>42186</c:v>
                </c:pt>
                <c:pt idx="441">
                  <c:v>42185</c:v>
                </c:pt>
                <c:pt idx="442">
                  <c:v>42184</c:v>
                </c:pt>
                <c:pt idx="443">
                  <c:v>42181</c:v>
                </c:pt>
                <c:pt idx="444">
                  <c:v>42180</c:v>
                </c:pt>
                <c:pt idx="445">
                  <c:v>42179</c:v>
                </c:pt>
                <c:pt idx="446">
                  <c:v>42178</c:v>
                </c:pt>
                <c:pt idx="447">
                  <c:v>42177</c:v>
                </c:pt>
                <c:pt idx="448">
                  <c:v>42174</c:v>
                </c:pt>
                <c:pt idx="449">
                  <c:v>42173</c:v>
                </c:pt>
                <c:pt idx="450">
                  <c:v>42172</c:v>
                </c:pt>
                <c:pt idx="451">
                  <c:v>42171</c:v>
                </c:pt>
                <c:pt idx="452">
                  <c:v>42170</c:v>
                </c:pt>
                <c:pt idx="453">
                  <c:v>42167</c:v>
                </c:pt>
                <c:pt idx="454">
                  <c:v>42166</c:v>
                </c:pt>
                <c:pt idx="455">
                  <c:v>42165</c:v>
                </c:pt>
                <c:pt idx="456">
                  <c:v>42164</c:v>
                </c:pt>
                <c:pt idx="457">
                  <c:v>42163</c:v>
                </c:pt>
                <c:pt idx="458">
                  <c:v>42160</c:v>
                </c:pt>
                <c:pt idx="459">
                  <c:v>42159</c:v>
                </c:pt>
                <c:pt idx="460">
                  <c:v>42158</c:v>
                </c:pt>
                <c:pt idx="461">
                  <c:v>42157</c:v>
                </c:pt>
                <c:pt idx="462">
                  <c:v>42156</c:v>
                </c:pt>
                <c:pt idx="463">
                  <c:v>42153</c:v>
                </c:pt>
                <c:pt idx="464">
                  <c:v>42152</c:v>
                </c:pt>
                <c:pt idx="465">
                  <c:v>42151</c:v>
                </c:pt>
                <c:pt idx="466">
                  <c:v>42150</c:v>
                </c:pt>
                <c:pt idx="467">
                  <c:v>42146</c:v>
                </c:pt>
                <c:pt idx="468">
                  <c:v>42145</c:v>
                </c:pt>
                <c:pt idx="469">
                  <c:v>42144</c:v>
                </c:pt>
                <c:pt idx="470">
                  <c:v>42143</c:v>
                </c:pt>
                <c:pt idx="471">
                  <c:v>42142</c:v>
                </c:pt>
                <c:pt idx="472">
                  <c:v>42139</c:v>
                </c:pt>
                <c:pt idx="473">
                  <c:v>42138</c:v>
                </c:pt>
                <c:pt idx="474">
                  <c:v>42137</c:v>
                </c:pt>
                <c:pt idx="475">
                  <c:v>42136</c:v>
                </c:pt>
                <c:pt idx="476">
                  <c:v>42135</c:v>
                </c:pt>
                <c:pt idx="477">
                  <c:v>42132</c:v>
                </c:pt>
                <c:pt idx="478">
                  <c:v>42131</c:v>
                </c:pt>
                <c:pt idx="479">
                  <c:v>42130</c:v>
                </c:pt>
                <c:pt idx="480">
                  <c:v>42129</c:v>
                </c:pt>
                <c:pt idx="481">
                  <c:v>42128</c:v>
                </c:pt>
                <c:pt idx="482">
                  <c:v>42125</c:v>
                </c:pt>
                <c:pt idx="483">
                  <c:v>42124</c:v>
                </c:pt>
                <c:pt idx="484">
                  <c:v>42123</c:v>
                </c:pt>
                <c:pt idx="485">
                  <c:v>42122</c:v>
                </c:pt>
                <c:pt idx="486">
                  <c:v>42121</c:v>
                </c:pt>
                <c:pt idx="487">
                  <c:v>42118</c:v>
                </c:pt>
                <c:pt idx="488">
                  <c:v>42117</c:v>
                </c:pt>
                <c:pt idx="489">
                  <c:v>42116</c:v>
                </c:pt>
                <c:pt idx="490">
                  <c:v>42115</c:v>
                </c:pt>
                <c:pt idx="491">
                  <c:v>42114</c:v>
                </c:pt>
                <c:pt idx="492">
                  <c:v>42111</c:v>
                </c:pt>
                <c:pt idx="493">
                  <c:v>42110</c:v>
                </c:pt>
                <c:pt idx="494">
                  <c:v>42109</c:v>
                </c:pt>
                <c:pt idx="495">
                  <c:v>42108</c:v>
                </c:pt>
                <c:pt idx="496">
                  <c:v>42107</c:v>
                </c:pt>
                <c:pt idx="497">
                  <c:v>42104</c:v>
                </c:pt>
                <c:pt idx="498">
                  <c:v>42103</c:v>
                </c:pt>
                <c:pt idx="499">
                  <c:v>42102</c:v>
                </c:pt>
                <c:pt idx="500">
                  <c:v>42101</c:v>
                </c:pt>
                <c:pt idx="501">
                  <c:v>42100</c:v>
                </c:pt>
                <c:pt idx="502">
                  <c:v>42096</c:v>
                </c:pt>
                <c:pt idx="503">
                  <c:v>42095</c:v>
                </c:pt>
                <c:pt idx="504">
                  <c:v>42094</c:v>
                </c:pt>
                <c:pt idx="505">
                  <c:v>42093</c:v>
                </c:pt>
                <c:pt idx="506">
                  <c:v>42090</c:v>
                </c:pt>
                <c:pt idx="507">
                  <c:v>42089</c:v>
                </c:pt>
                <c:pt idx="508">
                  <c:v>42088</c:v>
                </c:pt>
                <c:pt idx="509">
                  <c:v>42087</c:v>
                </c:pt>
                <c:pt idx="510">
                  <c:v>42086</c:v>
                </c:pt>
                <c:pt idx="511">
                  <c:v>42083</c:v>
                </c:pt>
                <c:pt idx="512">
                  <c:v>42082</c:v>
                </c:pt>
                <c:pt idx="513">
                  <c:v>42081</c:v>
                </c:pt>
                <c:pt idx="514">
                  <c:v>42080</c:v>
                </c:pt>
                <c:pt idx="515">
                  <c:v>42079</c:v>
                </c:pt>
                <c:pt idx="516">
                  <c:v>42076</c:v>
                </c:pt>
                <c:pt idx="517">
                  <c:v>42075</c:v>
                </c:pt>
                <c:pt idx="518">
                  <c:v>42074</c:v>
                </c:pt>
                <c:pt idx="519">
                  <c:v>42073</c:v>
                </c:pt>
                <c:pt idx="520">
                  <c:v>42072</c:v>
                </c:pt>
                <c:pt idx="521">
                  <c:v>42069</c:v>
                </c:pt>
                <c:pt idx="522">
                  <c:v>42068</c:v>
                </c:pt>
                <c:pt idx="523">
                  <c:v>42067</c:v>
                </c:pt>
                <c:pt idx="524">
                  <c:v>42066</c:v>
                </c:pt>
                <c:pt idx="525">
                  <c:v>42065</c:v>
                </c:pt>
                <c:pt idx="526">
                  <c:v>42062</c:v>
                </c:pt>
                <c:pt idx="527">
                  <c:v>42061</c:v>
                </c:pt>
                <c:pt idx="528">
                  <c:v>42060</c:v>
                </c:pt>
                <c:pt idx="529">
                  <c:v>42059</c:v>
                </c:pt>
                <c:pt idx="530">
                  <c:v>42058</c:v>
                </c:pt>
                <c:pt idx="531">
                  <c:v>42055</c:v>
                </c:pt>
                <c:pt idx="532">
                  <c:v>42054</c:v>
                </c:pt>
                <c:pt idx="533">
                  <c:v>42053</c:v>
                </c:pt>
                <c:pt idx="534">
                  <c:v>42052</c:v>
                </c:pt>
                <c:pt idx="535">
                  <c:v>42048</c:v>
                </c:pt>
                <c:pt idx="536">
                  <c:v>42047</c:v>
                </c:pt>
                <c:pt idx="537">
                  <c:v>42046</c:v>
                </c:pt>
                <c:pt idx="538">
                  <c:v>42045</c:v>
                </c:pt>
                <c:pt idx="539">
                  <c:v>42044</c:v>
                </c:pt>
                <c:pt idx="540">
                  <c:v>42041</c:v>
                </c:pt>
                <c:pt idx="541">
                  <c:v>42040</c:v>
                </c:pt>
                <c:pt idx="542">
                  <c:v>42039</c:v>
                </c:pt>
                <c:pt idx="543">
                  <c:v>42038</c:v>
                </c:pt>
                <c:pt idx="544">
                  <c:v>42037</c:v>
                </c:pt>
                <c:pt idx="545">
                  <c:v>42034</c:v>
                </c:pt>
                <c:pt idx="546">
                  <c:v>42033</c:v>
                </c:pt>
                <c:pt idx="547">
                  <c:v>42032</c:v>
                </c:pt>
                <c:pt idx="548">
                  <c:v>42031</c:v>
                </c:pt>
                <c:pt idx="549">
                  <c:v>42030</c:v>
                </c:pt>
                <c:pt idx="550">
                  <c:v>42027</c:v>
                </c:pt>
                <c:pt idx="551">
                  <c:v>42026</c:v>
                </c:pt>
                <c:pt idx="552">
                  <c:v>42025</c:v>
                </c:pt>
                <c:pt idx="553">
                  <c:v>42024</c:v>
                </c:pt>
                <c:pt idx="554">
                  <c:v>42020</c:v>
                </c:pt>
                <c:pt idx="555">
                  <c:v>42019</c:v>
                </c:pt>
                <c:pt idx="556">
                  <c:v>42018</c:v>
                </c:pt>
                <c:pt idx="557">
                  <c:v>42017</c:v>
                </c:pt>
                <c:pt idx="558">
                  <c:v>42016</c:v>
                </c:pt>
                <c:pt idx="559">
                  <c:v>42013</c:v>
                </c:pt>
                <c:pt idx="560">
                  <c:v>42012</c:v>
                </c:pt>
                <c:pt idx="561">
                  <c:v>42011</c:v>
                </c:pt>
                <c:pt idx="562">
                  <c:v>42010</c:v>
                </c:pt>
                <c:pt idx="563">
                  <c:v>42009</c:v>
                </c:pt>
                <c:pt idx="564">
                  <c:v>42006</c:v>
                </c:pt>
              </c:numCache>
            </c:numRef>
          </c:cat>
          <c:val>
            <c:numRef>
              <c:f>'Graf 3+4'!$P$3:$P$567</c:f>
              <c:numCache>
                <c:formatCode>General</c:formatCode>
                <c:ptCount val="565"/>
                <c:pt idx="0">
                  <c:v>0.95498959732835553</c:v>
                </c:pt>
                <c:pt idx="1">
                  <c:v>0.96525268240416606</c:v>
                </c:pt>
                <c:pt idx="2">
                  <c:v>0.96956642583983843</c:v>
                </c:pt>
                <c:pt idx="3">
                  <c:v>0.97665956521827346</c:v>
                </c:pt>
                <c:pt idx="4">
                  <c:v>0.97496156544302015</c:v>
                </c:pt>
                <c:pt idx="5">
                  <c:v>0.96800289429273434</c:v>
                </c:pt>
                <c:pt idx="6">
                  <c:v>0.96824150647899088</c:v>
                </c:pt>
                <c:pt idx="7">
                  <c:v>0.9709667083540352</c:v>
                </c:pt>
                <c:pt idx="8">
                  <c:v>0.96706152993578787</c:v>
                </c:pt>
                <c:pt idx="9">
                  <c:v>0.96345847925364581</c:v>
                </c:pt>
                <c:pt idx="10">
                  <c:v>0.97250206496789815</c:v>
                </c:pt>
                <c:pt idx="11">
                  <c:v>0.96382672583553841</c:v>
                </c:pt>
                <c:pt idx="12">
                  <c:v>0.96275683322346306</c:v>
                </c:pt>
                <c:pt idx="13">
                  <c:v>0.96211781780910033</c:v>
                </c:pt>
                <c:pt idx="14">
                  <c:v>0.95437552396316017</c:v>
                </c:pt>
                <c:pt idx="15">
                  <c:v>0.95460174393399511</c:v>
                </c:pt>
                <c:pt idx="16">
                  <c:v>0.96241357871876199</c:v>
                </c:pt>
                <c:pt idx="17">
                  <c:v>0.96464382866501741</c:v>
                </c:pt>
                <c:pt idx="18">
                  <c:v>0.96245349275390679</c:v>
                </c:pt>
                <c:pt idx="19">
                  <c:v>0.95597313274615714</c:v>
                </c:pt>
                <c:pt idx="20">
                  <c:v>0.96177981154426417</c:v>
                </c:pt>
                <c:pt idx="21">
                  <c:v>0.96889264514440954</c:v>
                </c:pt>
                <c:pt idx="22">
                  <c:v>0.96944461208480237</c:v>
                </c:pt>
                <c:pt idx="23">
                  <c:v>0.96459061798261247</c:v>
                </c:pt>
                <c:pt idx="24">
                  <c:v>0.9721615120951741</c:v>
                </c:pt>
                <c:pt idx="25">
                  <c:v>0.97138293197625325</c:v>
                </c:pt>
                <c:pt idx="26">
                  <c:v>0.97294948311187346</c:v>
                </c:pt>
                <c:pt idx="27">
                  <c:v>0.96972172902175768</c:v>
                </c:pt>
                <c:pt idx="28">
                  <c:v>0.95594541632606278</c:v>
                </c:pt>
                <c:pt idx="29">
                  <c:v>0.96583079972294827</c:v>
                </c:pt>
                <c:pt idx="30">
                  <c:v>0.96082988385158585</c:v>
                </c:pt>
                <c:pt idx="31">
                  <c:v>0.96037087324470005</c:v>
                </c:pt>
                <c:pt idx="32">
                  <c:v>0.9583581196795552</c:v>
                </c:pt>
                <c:pt idx="33">
                  <c:v>0.95211623230865361</c:v>
                </c:pt>
                <c:pt idx="34">
                  <c:v>0.94832142660347074</c:v>
                </c:pt>
                <c:pt idx="35">
                  <c:v>0.94396667998369721</c:v>
                </c:pt>
                <c:pt idx="36">
                  <c:v>0.93811352940941428</c:v>
                </c:pt>
                <c:pt idx="37">
                  <c:v>0.94390368392205581</c:v>
                </c:pt>
                <c:pt idx="38">
                  <c:v>0.94157182255246297</c:v>
                </c:pt>
                <c:pt idx="39">
                  <c:v>0.94064433604090913</c:v>
                </c:pt>
                <c:pt idx="40">
                  <c:v>0.94064433604090913</c:v>
                </c:pt>
                <c:pt idx="41">
                  <c:v>0.94064433604090913</c:v>
                </c:pt>
                <c:pt idx="42">
                  <c:v>0.94064433604090913</c:v>
                </c:pt>
                <c:pt idx="43">
                  <c:v>0.94064433604090913</c:v>
                </c:pt>
                <c:pt idx="44">
                  <c:v>0.94064433604090913</c:v>
                </c:pt>
                <c:pt idx="45">
                  <c:v>0.93945900140193683</c:v>
                </c:pt>
                <c:pt idx="46">
                  <c:v>0.93848641379954922</c:v>
                </c:pt>
                <c:pt idx="47">
                  <c:v>0.93816356126226008</c:v>
                </c:pt>
                <c:pt idx="48">
                  <c:v>0.92958778962741961</c:v>
                </c:pt>
                <c:pt idx="49">
                  <c:v>0.92147655575883292</c:v>
                </c:pt>
                <c:pt idx="50">
                  <c:v>0.93056527632961017</c:v>
                </c:pt>
                <c:pt idx="51">
                  <c:v>0.92912906410462459</c:v>
                </c:pt>
                <c:pt idx="52">
                  <c:v>0.92301557295054737</c:v>
                </c:pt>
                <c:pt idx="53">
                  <c:v>0.92694447167251681</c:v>
                </c:pt>
                <c:pt idx="54">
                  <c:v>0.9276015966779374</c:v>
                </c:pt>
                <c:pt idx="55">
                  <c:v>0.93462241922040645</c:v>
                </c:pt>
                <c:pt idx="56">
                  <c:v>0.93612683610079972</c:v>
                </c:pt>
                <c:pt idx="57">
                  <c:v>0.93160510688120945</c:v>
                </c:pt>
                <c:pt idx="58">
                  <c:v>0.94329080261726972</c:v>
                </c:pt>
                <c:pt idx="59">
                  <c:v>0.93600534408369307</c:v>
                </c:pt>
                <c:pt idx="60">
                  <c:v>0.92242709836039238</c:v>
                </c:pt>
                <c:pt idx="61">
                  <c:v>0.91374050369287785</c:v>
                </c:pt>
                <c:pt idx="62">
                  <c:v>0.90968710610434278</c:v>
                </c:pt>
                <c:pt idx="63">
                  <c:v>0.90755960033201277</c:v>
                </c:pt>
                <c:pt idx="64">
                  <c:v>0.91478924338287748</c:v>
                </c:pt>
                <c:pt idx="65">
                  <c:v>0.91485072960560831</c:v>
                </c:pt>
                <c:pt idx="66">
                  <c:v>0.92411649962320808</c:v>
                </c:pt>
                <c:pt idx="67">
                  <c:v>0.92500818703784504</c:v>
                </c:pt>
                <c:pt idx="68">
                  <c:v>0.91263296487672352</c:v>
                </c:pt>
                <c:pt idx="69">
                  <c:v>0.9152321657222473</c:v>
                </c:pt>
                <c:pt idx="70">
                  <c:v>0.91516496897669497</c:v>
                </c:pt>
                <c:pt idx="71">
                  <c:v>0.91948361982775073</c:v>
                </c:pt>
                <c:pt idx="72">
                  <c:v>0.93386587002884802</c:v>
                </c:pt>
                <c:pt idx="73">
                  <c:v>0.93638050819326635</c:v>
                </c:pt>
                <c:pt idx="74">
                  <c:v>0.93557975237320434</c:v>
                </c:pt>
                <c:pt idx="75">
                  <c:v>0.95780947537111216</c:v>
                </c:pt>
                <c:pt idx="76">
                  <c:v>0.95234677606161577</c:v>
                </c:pt>
                <c:pt idx="77">
                  <c:v>0.9589117741803086</c:v>
                </c:pt>
                <c:pt idx="78">
                  <c:v>0.95294767527991064</c:v>
                </c:pt>
                <c:pt idx="79">
                  <c:v>0.95666187653097357</c:v>
                </c:pt>
                <c:pt idx="80">
                  <c:v>0.96643632702988524</c:v>
                </c:pt>
                <c:pt idx="81">
                  <c:v>0.97489062421091455</c:v>
                </c:pt>
                <c:pt idx="82">
                  <c:v>0.96538713617386218</c:v>
                </c:pt>
                <c:pt idx="83">
                  <c:v>0.97695575762472453</c:v>
                </c:pt>
                <c:pt idx="84">
                  <c:v>0.97207803690994354</c:v>
                </c:pt>
                <c:pt idx="85">
                  <c:v>0.9666023936156285</c:v>
                </c:pt>
                <c:pt idx="86">
                  <c:v>0.96019908559704747</c:v>
                </c:pt>
                <c:pt idx="87">
                  <c:v>0.96638967452504598</c:v>
                </c:pt>
                <c:pt idx="88">
                  <c:v>0.95590469139555068</c:v>
                </c:pt>
                <c:pt idx="89">
                  <c:v>0.94855357724959433</c:v>
                </c:pt>
                <c:pt idx="90">
                  <c:v>0.9547725818447983</c:v>
                </c:pt>
                <c:pt idx="91">
                  <c:v>0.95425175548327479</c:v>
                </c:pt>
                <c:pt idx="92">
                  <c:v>0.95742592025950368</c:v>
                </c:pt>
                <c:pt idx="93">
                  <c:v>0.95995158224888266</c:v>
                </c:pt>
                <c:pt idx="94">
                  <c:v>0.96154173259315767</c:v>
                </c:pt>
                <c:pt idx="95">
                  <c:v>0.95234183459240529</c:v>
                </c:pt>
                <c:pt idx="96">
                  <c:v>0.94109390787347103</c:v>
                </c:pt>
                <c:pt idx="97">
                  <c:v>0.9496472824997948</c:v>
                </c:pt>
                <c:pt idx="98">
                  <c:v>0.94452812165701117</c:v>
                </c:pt>
                <c:pt idx="99">
                  <c:v>0.94604094229126456</c:v>
                </c:pt>
                <c:pt idx="100">
                  <c:v>0.94767047326044929</c:v>
                </c:pt>
                <c:pt idx="101">
                  <c:v>0.94035975474001021</c:v>
                </c:pt>
                <c:pt idx="102">
                  <c:v>0.94484387734600861</c:v>
                </c:pt>
                <c:pt idx="103">
                  <c:v>0.93639593121095221</c:v>
                </c:pt>
                <c:pt idx="104">
                  <c:v>0.936196621838564</c:v>
                </c:pt>
                <c:pt idx="105">
                  <c:v>0.93785087602138262</c:v>
                </c:pt>
                <c:pt idx="106">
                  <c:v>0.94138901120405483</c:v>
                </c:pt>
                <c:pt idx="107">
                  <c:v>0.9467017600683143</c:v>
                </c:pt>
                <c:pt idx="108">
                  <c:v>0.94510744178374062</c:v>
                </c:pt>
                <c:pt idx="109">
                  <c:v>0.9341891080529674</c:v>
                </c:pt>
                <c:pt idx="110">
                  <c:v>0.93558407284750911</c:v>
                </c:pt>
                <c:pt idx="111">
                  <c:v>0.93704870667378071</c:v>
                </c:pt>
                <c:pt idx="112">
                  <c:v>0.93674538162763654</c:v>
                </c:pt>
                <c:pt idx="113">
                  <c:v>0.92166219508721747</c:v>
                </c:pt>
                <c:pt idx="114">
                  <c:v>0.9303194899683882</c:v>
                </c:pt>
                <c:pt idx="115">
                  <c:v>0.92963403796255495</c:v>
                </c:pt>
                <c:pt idx="116">
                  <c:v>0.92870297367389454</c:v>
                </c:pt>
                <c:pt idx="117">
                  <c:v>0.93145423978649688</c:v>
                </c:pt>
                <c:pt idx="118">
                  <c:v>0.92845933885384291</c:v>
                </c:pt>
                <c:pt idx="119">
                  <c:v>0.92006791201686933</c:v>
                </c:pt>
                <c:pt idx="120">
                  <c:v>0.92006791201686933</c:v>
                </c:pt>
                <c:pt idx="121">
                  <c:v>0.92006791201686933</c:v>
                </c:pt>
                <c:pt idx="122">
                  <c:v>0.92006791201686933</c:v>
                </c:pt>
                <c:pt idx="123">
                  <c:v>0.92006791201686933</c:v>
                </c:pt>
                <c:pt idx="124">
                  <c:v>0.92006791201686933</c:v>
                </c:pt>
                <c:pt idx="125">
                  <c:v>0.91856460248951066</c:v>
                </c:pt>
                <c:pt idx="126">
                  <c:v>0.91315581339656404</c:v>
                </c:pt>
                <c:pt idx="127">
                  <c:v>0.91777554529138827</c:v>
                </c:pt>
                <c:pt idx="128">
                  <c:v>0.91256182850209377</c:v>
                </c:pt>
                <c:pt idx="129">
                  <c:v>0.92925581218098952</c:v>
                </c:pt>
                <c:pt idx="130">
                  <c:v>0.93318910895321272</c:v>
                </c:pt>
                <c:pt idx="131">
                  <c:v>0.92692582527528278</c:v>
                </c:pt>
                <c:pt idx="132">
                  <c:v>0.92546446958206152</c:v>
                </c:pt>
                <c:pt idx="133">
                  <c:v>0.92690743615160676</c:v>
                </c:pt>
                <c:pt idx="134">
                  <c:v>0.91872705854781089</c:v>
                </c:pt>
                <c:pt idx="135">
                  <c:v>0.91872705854781089</c:v>
                </c:pt>
                <c:pt idx="136">
                  <c:v>0.91872705854781089</c:v>
                </c:pt>
                <c:pt idx="137">
                  <c:v>0.9231480978700628</c:v>
                </c:pt>
                <c:pt idx="138">
                  <c:v>0.92271583513324984</c:v>
                </c:pt>
                <c:pt idx="139">
                  <c:v>0.9397653250639193</c:v>
                </c:pt>
                <c:pt idx="140">
                  <c:v>0.94926946762827624</c:v>
                </c:pt>
                <c:pt idx="141">
                  <c:v>0.94892829532533973</c:v>
                </c:pt>
                <c:pt idx="142">
                  <c:v>0.94512618121918091</c:v>
                </c:pt>
                <c:pt idx="143">
                  <c:v>0.93829416783635811</c:v>
                </c:pt>
                <c:pt idx="144">
                  <c:v>0.93832232229095558</c:v>
                </c:pt>
                <c:pt idx="145">
                  <c:v>0.94375633857628594</c:v>
                </c:pt>
                <c:pt idx="146">
                  <c:v>0.94062963800149291</c:v>
                </c:pt>
                <c:pt idx="147">
                  <c:v>0.93963989563785599</c:v>
                </c:pt>
                <c:pt idx="148">
                  <c:v>0.94094485048336507</c:v>
                </c:pt>
                <c:pt idx="149">
                  <c:v>0.94205557097743586</c:v>
                </c:pt>
                <c:pt idx="150">
                  <c:v>0.94795221745222102</c:v>
                </c:pt>
                <c:pt idx="151">
                  <c:v>0.95052602184545321</c:v>
                </c:pt>
                <c:pt idx="152">
                  <c:v>0.94771671238032873</c:v>
                </c:pt>
                <c:pt idx="153">
                  <c:v>0.9554508916038873</c:v>
                </c:pt>
                <c:pt idx="154">
                  <c:v>0.95764308153989264</c:v>
                </c:pt>
                <c:pt idx="155">
                  <c:v>0.95894106728280204</c:v>
                </c:pt>
                <c:pt idx="156">
                  <c:v>0.96004578986157352</c:v>
                </c:pt>
                <c:pt idx="157">
                  <c:v>0.9632891537241195</c:v>
                </c:pt>
                <c:pt idx="158">
                  <c:v>0.93851955237495788</c:v>
                </c:pt>
                <c:pt idx="159">
                  <c:v>0.92339591495071671</c:v>
                </c:pt>
                <c:pt idx="160">
                  <c:v>0.92807226132448983</c:v>
                </c:pt>
                <c:pt idx="161">
                  <c:v>0.92767362106106654</c:v>
                </c:pt>
                <c:pt idx="162">
                  <c:v>0.91988334854052001</c:v>
                </c:pt>
                <c:pt idx="163">
                  <c:v>0.91137558070008051</c:v>
                </c:pt>
                <c:pt idx="164">
                  <c:v>0.91557649771551741</c:v>
                </c:pt>
                <c:pt idx="165">
                  <c:v>0.91570796223156181</c:v>
                </c:pt>
                <c:pt idx="166">
                  <c:v>0.91392588083622006</c:v>
                </c:pt>
                <c:pt idx="167">
                  <c:v>0.90533147110020429</c:v>
                </c:pt>
                <c:pt idx="168">
                  <c:v>0.914579923203513</c:v>
                </c:pt>
                <c:pt idx="169">
                  <c:v>0.9170663458793642</c:v>
                </c:pt>
                <c:pt idx="170">
                  <c:v>0.91388357684421484</c:v>
                </c:pt>
                <c:pt idx="171">
                  <c:v>0.93282137616611571</c:v>
                </c:pt>
                <c:pt idx="172">
                  <c:v>0.92054109943072882</c:v>
                </c:pt>
                <c:pt idx="173">
                  <c:v>0.91987106754366388</c:v>
                </c:pt>
                <c:pt idx="174">
                  <c:v>0.92811887483673416</c:v>
                </c:pt>
                <c:pt idx="175">
                  <c:v>0.92490063082152263</c:v>
                </c:pt>
                <c:pt idx="176">
                  <c:v>0.92440432042608967</c:v>
                </c:pt>
                <c:pt idx="177">
                  <c:v>0.92660388393369875</c:v>
                </c:pt>
                <c:pt idx="178">
                  <c:v>0.93138194695749155</c:v>
                </c:pt>
                <c:pt idx="179">
                  <c:v>0.93223280586056445</c:v>
                </c:pt>
                <c:pt idx="180">
                  <c:v>0.93414361849777827</c:v>
                </c:pt>
                <c:pt idx="181">
                  <c:v>0.92995490628039357</c:v>
                </c:pt>
                <c:pt idx="182">
                  <c:v>0.91070378492634108</c:v>
                </c:pt>
                <c:pt idx="183">
                  <c:v>0.9098124319121248</c:v>
                </c:pt>
                <c:pt idx="184">
                  <c:v>0.92036530301257957</c:v>
                </c:pt>
                <c:pt idx="185">
                  <c:v>0.91868692049293532</c:v>
                </c:pt>
                <c:pt idx="186">
                  <c:v>0.9167408745840917</c:v>
                </c:pt>
                <c:pt idx="187">
                  <c:v>0.89517166976348972</c:v>
                </c:pt>
                <c:pt idx="188">
                  <c:v>0.89455285837427989</c:v>
                </c:pt>
                <c:pt idx="189">
                  <c:v>0.89914990713368881</c:v>
                </c:pt>
                <c:pt idx="190">
                  <c:v>0.88956229395763797</c:v>
                </c:pt>
                <c:pt idx="191">
                  <c:v>0.88393860513722866</c:v>
                </c:pt>
                <c:pt idx="192">
                  <c:v>0.87234314668811086</c:v>
                </c:pt>
                <c:pt idx="193">
                  <c:v>0.89436396971590337</c:v>
                </c:pt>
                <c:pt idx="194">
                  <c:v>0.89752556403765693</c:v>
                </c:pt>
                <c:pt idx="195">
                  <c:v>0.88689029409621978</c:v>
                </c:pt>
                <c:pt idx="196">
                  <c:v>0.89187636485181843</c:v>
                </c:pt>
                <c:pt idx="197">
                  <c:v>0.88923749009911091</c:v>
                </c:pt>
                <c:pt idx="198">
                  <c:v>0.88425853870347826</c:v>
                </c:pt>
                <c:pt idx="199">
                  <c:v>0.89043662465564455</c:v>
                </c:pt>
                <c:pt idx="200">
                  <c:v>0.87277499432325145</c:v>
                </c:pt>
                <c:pt idx="201">
                  <c:v>0.8712150268247818</c:v>
                </c:pt>
                <c:pt idx="202">
                  <c:v>0.90629862019216434</c:v>
                </c:pt>
                <c:pt idx="203">
                  <c:v>0.90629862019216434</c:v>
                </c:pt>
                <c:pt idx="204">
                  <c:v>0.90629862019216434</c:v>
                </c:pt>
                <c:pt idx="205">
                  <c:v>0.90858080864846347</c:v>
                </c:pt>
                <c:pt idx="206">
                  <c:v>0.90837426640789021</c:v>
                </c:pt>
                <c:pt idx="207">
                  <c:v>0.91145500379696021</c:v>
                </c:pt>
                <c:pt idx="208">
                  <c:v>0.90325472040167165</c:v>
                </c:pt>
                <c:pt idx="209">
                  <c:v>0.89970462325482559</c:v>
                </c:pt>
                <c:pt idx="210">
                  <c:v>0.89979800369631247</c:v>
                </c:pt>
                <c:pt idx="211">
                  <c:v>0.86898365908280017</c:v>
                </c:pt>
                <c:pt idx="212">
                  <c:v>0.87138240797491018</c:v>
                </c:pt>
                <c:pt idx="213">
                  <c:v>0.86811095314697662</c:v>
                </c:pt>
                <c:pt idx="214">
                  <c:v>0.87057984162205515</c:v>
                </c:pt>
                <c:pt idx="215">
                  <c:v>0.87753668195153978</c:v>
                </c:pt>
                <c:pt idx="216">
                  <c:v>0.87166126481912443</c:v>
                </c:pt>
                <c:pt idx="217">
                  <c:v>0.86679369822244645</c:v>
                </c:pt>
                <c:pt idx="218">
                  <c:v>0.86736168479914744</c:v>
                </c:pt>
                <c:pt idx="219">
                  <c:v>0.88300923214138516</c:v>
                </c:pt>
                <c:pt idx="220">
                  <c:v>0.8856034564816202</c:v>
                </c:pt>
                <c:pt idx="221">
                  <c:v>0.8754387511647006</c:v>
                </c:pt>
                <c:pt idx="222">
                  <c:v>0.88095172794236776</c:v>
                </c:pt>
                <c:pt idx="223">
                  <c:v>0.88544619432322347</c:v>
                </c:pt>
                <c:pt idx="224">
                  <c:v>0.87935495933326968</c:v>
                </c:pt>
                <c:pt idx="225">
                  <c:v>0.87881772341506226</c:v>
                </c:pt>
                <c:pt idx="226">
                  <c:v>0.90955991808179903</c:v>
                </c:pt>
                <c:pt idx="227">
                  <c:v>0.93750919626427609</c:v>
                </c:pt>
                <c:pt idx="228">
                  <c:v>0.93714659070535289</c:v>
                </c:pt>
                <c:pt idx="229">
                  <c:v>0.9376664087605735</c:v>
                </c:pt>
                <c:pt idx="230">
                  <c:v>0.92195665693543316</c:v>
                </c:pt>
                <c:pt idx="231">
                  <c:v>0.92195665693543316</c:v>
                </c:pt>
                <c:pt idx="232">
                  <c:v>0.9244230051531892</c:v>
                </c:pt>
                <c:pt idx="233">
                  <c:v>0.92316991032232965</c:v>
                </c:pt>
                <c:pt idx="234">
                  <c:v>0.92851465273055012</c:v>
                </c:pt>
                <c:pt idx="235">
                  <c:v>0.92202395518539682</c:v>
                </c:pt>
                <c:pt idx="236">
                  <c:v>0.92435419161082688</c:v>
                </c:pt>
                <c:pt idx="237">
                  <c:v>0.92567083794127614</c:v>
                </c:pt>
                <c:pt idx="238">
                  <c:v>0.93433390097705016</c:v>
                </c:pt>
                <c:pt idx="239">
                  <c:v>0.9590636607995664</c:v>
                </c:pt>
                <c:pt idx="240">
                  <c:v>0.95326304229233405</c:v>
                </c:pt>
                <c:pt idx="241">
                  <c:v>0.96700555551266953</c:v>
                </c:pt>
                <c:pt idx="242">
                  <c:v>0.96787423341157841</c:v>
                </c:pt>
                <c:pt idx="243">
                  <c:v>0.96330510791125223</c:v>
                </c:pt>
                <c:pt idx="244">
                  <c:v>0.95151268810782019</c:v>
                </c:pt>
                <c:pt idx="245">
                  <c:v>0.95555859055684378</c:v>
                </c:pt>
                <c:pt idx="246">
                  <c:v>0.93805762401380299</c:v>
                </c:pt>
                <c:pt idx="247">
                  <c:v>0.9465007766706397</c:v>
                </c:pt>
                <c:pt idx="248">
                  <c:v>0.95795983309676624</c:v>
                </c:pt>
                <c:pt idx="249">
                  <c:v>0.95870818866042895</c:v>
                </c:pt>
                <c:pt idx="250">
                  <c:v>0.94425805153375997</c:v>
                </c:pt>
                <c:pt idx="251">
                  <c:v>0.94425805153375997</c:v>
                </c:pt>
                <c:pt idx="252">
                  <c:v>0.94639418315519519</c:v>
                </c:pt>
                <c:pt idx="253">
                  <c:v>0.9436442096763662</c:v>
                </c:pt>
                <c:pt idx="254">
                  <c:v>0.9093525752450935</c:v>
                </c:pt>
                <c:pt idx="255">
                  <c:v>0.92425973796858352</c:v>
                </c:pt>
                <c:pt idx="256">
                  <c:v>0.92143030402043813</c:v>
                </c:pt>
                <c:pt idx="257">
                  <c:v>0.93975924230185348</c:v>
                </c:pt>
                <c:pt idx="258">
                  <c:v>0.93864879605018814</c:v>
                </c:pt>
                <c:pt idx="259">
                  <c:v>0.94599160112599812</c:v>
                </c:pt>
                <c:pt idx="260">
                  <c:v>0.92601264863772825</c:v>
                </c:pt>
                <c:pt idx="261">
                  <c:v>0.90815612951501157</c:v>
                </c:pt>
                <c:pt idx="262">
                  <c:v>0.88882552362021627</c:v>
                </c:pt>
                <c:pt idx="263">
                  <c:v>0.88850700543572358</c:v>
                </c:pt>
                <c:pt idx="264">
                  <c:v>0.888388802899861</c:v>
                </c:pt>
                <c:pt idx="265">
                  <c:v>0.87434450112675188</c:v>
                </c:pt>
                <c:pt idx="266">
                  <c:v>0.86760554904901133</c:v>
                </c:pt>
                <c:pt idx="267">
                  <c:v>0.88714569043510827</c:v>
                </c:pt>
                <c:pt idx="268">
                  <c:v>0.90231674162230635</c:v>
                </c:pt>
                <c:pt idx="269">
                  <c:v>0.89930249482980229</c:v>
                </c:pt>
                <c:pt idx="270">
                  <c:v>0.89166656876250427</c:v>
                </c:pt>
                <c:pt idx="271">
                  <c:v>0.88306819918713253</c:v>
                </c:pt>
                <c:pt idx="272">
                  <c:v>0.87661292561869653</c:v>
                </c:pt>
                <c:pt idx="273">
                  <c:v>0.83380932472403213</c:v>
                </c:pt>
                <c:pt idx="274">
                  <c:v>0.81670215247014188</c:v>
                </c:pt>
                <c:pt idx="275">
                  <c:v>0.84773521221243509</c:v>
                </c:pt>
                <c:pt idx="276">
                  <c:v>0.83886565880087915</c:v>
                </c:pt>
                <c:pt idx="277">
                  <c:v>0.9033927603512073</c:v>
                </c:pt>
                <c:pt idx="278">
                  <c:v>0.89466470332871095</c:v>
                </c:pt>
                <c:pt idx="279">
                  <c:v>0.90407102891260993</c:v>
                </c:pt>
                <c:pt idx="280">
                  <c:v>0.8806534502686798</c:v>
                </c:pt>
                <c:pt idx="281">
                  <c:v>0.88260638387244184</c:v>
                </c:pt>
                <c:pt idx="282">
                  <c:v>0.88240960440459149</c:v>
                </c:pt>
                <c:pt idx="283">
                  <c:v>0.87329759477737268</c:v>
                </c:pt>
                <c:pt idx="284">
                  <c:v>0.83796811345030298</c:v>
                </c:pt>
                <c:pt idx="285">
                  <c:v>0.83796811345030298</c:v>
                </c:pt>
                <c:pt idx="286">
                  <c:v>0.83796811345030298</c:v>
                </c:pt>
                <c:pt idx="287">
                  <c:v>0.83796811345030298</c:v>
                </c:pt>
                <c:pt idx="288">
                  <c:v>0.83796811345030298</c:v>
                </c:pt>
                <c:pt idx="289">
                  <c:v>0.83796811345030298</c:v>
                </c:pt>
                <c:pt idx="290">
                  <c:v>0.84531511709048424</c:v>
                </c:pt>
                <c:pt idx="291">
                  <c:v>0.8283941738826992</c:v>
                </c:pt>
                <c:pt idx="292">
                  <c:v>0.83202746410346973</c:v>
                </c:pt>
                <c:pt idx="293">
                  <c:v>0.80916675795933068</c:v>
                </c:pt>
                <c:pt idx="294">
                  <c:v>0.82761482443497947</c:v>
                </c:pt>
                <c:pt idx="295">
                  <c:v>0.79632140030010756</c:v>
                </c:pt>
                <c:pt idx="296">
                  <c:v>0.82555775374985574</c:v>
                </c:pt>
                <c:pt idx="297">
                  <c:v>0.82994523167244028</c:v>
                </c:pt>
                <c:pt idx="298">
                  <c:v>0.89464055963643041</c:v>
                </c:pt>
                <c:pt idx="299">
                  <c:v>0.88685338758707788</c:v>
                </c:pt>
                <c:pt idx="300">
                  <c:v>0.87451207783514295</c:v>
                </c:pt>
                <c:pt idx="301">
                  <c:v>0.90630439305493105</c:v>
                </c:pt>
                <c:pt idx="302">
                  <c:v>0.91748320099847547</c:v>
                </c:pt>
                <c:pt idx="303">
                  <c:v>0.8812460353491669</c:v>
                </c:pt>
                <c:pt idx="304">
                  <c:v>0.91423547614076828</c:v>
                </c:pt>
                <c:pt idx="305">
                  <c:v>0.896704721804366</c:v>
                </c:pt>
                <c:pt idx="306">
                  <c:v>0.92211364275882013</c:v>
                </c:pt>
                <c:pt idx="307">
                  <c:v>0.91921822665553066</c:v>
                </c:pt>
                <c:pt idx="308">
                  <c:v>0.96939647255066297</c:v>
                </c:pt>
                <c:pt idx="309">
                  <c:v>0.94968329041202137</c:v>
                </c:pt>
                <c:pt idx="310">
                  <c:v>1.0267419359478542</c:v>
                </c:pt>
                <c:pt idx="311">
                  <c:v>1.0083944939917711</c:v>
                </c:pt>
                <c:pt idx="312">
                  <c:v>1.0095807554008362</c:v>
                </c:pt>
                <c:pt idx="313">
                  <c:v>1.0844648987938821</c:v>
                </c:pt>
                <c:pt idx="314">
                  <c:v>1.0932084703010787</c:v>
                </c:pt>
                <c:pt idx="315">
                  <c:v>1.092234215253526</c:v>
                </c:pt>
                <c:pt idx="316">
                  <c:v>1.0827922978845455</c:v>
                </c:pt>
                <c:pt idx="317">
                  <c:v>1.1061928818946152</c:v>
                </c:pt>
                <c:pt idx="318">
                  <c:v>1.1128992842285674</c:v>
                </c:pt>
                <c:pt idx="319">
                  <c:v>1.1166235664739297</c:v>
                </c:pt>
                <c:pt idx="320">
                  <c:v>1.1132670382966072</c:v>
                </c:pt>
                <c:pt idx="321">
                  <c:v>1.096024516807927</c:v>
                </c:pt>
                <c:pt idx="322">
                  <c:v>1.0960977301369539</c:v>
                </c:pt>
                <c:pt idx="323">
                  <c:v>1.0795514337801486</c:v>
                </c:pt>
                <c:pt idx="324">
                  <c:v>1.0800872513139206</c:v>
                </c:pt>
                <c:pt idx="325">
                  <c:v>1.0829398079458024</c:v>
                </c:pt>
                <c:pt idx="326">
                  <c:v>1.0576212342889995</c:v>
                </c:pt>
                <c:pt idx="327">
                  <c:v>1.0676427580782306</c:v>
                </c:pt>
                <c:pt idx="328">
                  <c:v>1.0738678467909542</c:v>
                </c:pt>
                <c:pt idx="329">
                  <c:v>1.0752093405282537</c:v>
                </c:pt>
                <c:pt idx="330">
                  <c:v>1.0952288100692886</c:v>
                </c:pt>
                <c:pt idx="331">
                  <c:v>1.0932526389568022</c:v>
                </c:pt>
                <c:pt idx="332">
                  <c:v>1.1117568333154266</c:v>
                </c:pt>
                <c:pt idx="333">
                  <c:v>1.0958275347852999</c:v>
                </c:pt>
                <c:pt idx="334">
                  <c:v>1.0725408791580433</c:v>
                </c:pt>
                <c:pt idx="335">
                  <c:v>1.0697523303878516</c:v>
                </c:pt>
                <c:pt idx="336">
                  <c:v>1.067213328757656</c:v>
                </c:pt>
                <c:pt idx="337">
                  <c:v>1.1263306767599959</c:v>
                </c:pt>
                <c:pt idx="338">
                  <c:v>1.1174213731061169</c:v>
                </c:pt>
                <c:pt idx="339">
                  <c:v>1.1162229298509985</c:v>
                </c:pt>
                <c:pt idx="340">
                  <c:v>1.1224366820620295</c:v>
                </c:pt>
                <c:pt idx="341">
                  <c:v>1.1190832469939842</c:v>
                </c:pt>
                <c:pt idx="342">
                  <c:v>1.1050048822435925</c:v>
                </c:pt>
                <c:pt idx="343">
                  <c:v>1.1161059478441335</c:v>
                </c:pt>
                <c:pt idx="344">
                  <c:v>1.1175517066116969</c:v>
                </c:pt>
                <c:pt idx="345">
                  <c:v>1.1098782331639567</c:v>
                </c:pt>
                <c:pt idx="346">
                  <c:v>1.1241783341904803</c:v>
                </c:pt>
                <c:pt idx="347">
                  <c:v>1.1296177003292347</c:v>
                </c:pt>
                <c:pt idx="348">
                  <c:v>1.1286199630816043</c:v>
                </c:pt>
                <c:pt idx="349">
                  <c:v>1.1300126136502491</c:v>
                </c:pt>
                <c:pt idx="350">
                  <c:v>1.1157423826632864</c:v>
                </c:pt>
                <c:pt idx="351">
                  <c:v>1.0974811411759466</c:v>
                </c:pt>
                <c:pt idx="352">
                  <c:v>1.0809200971082857</c:v>
                </c:pt>
                <c:pt idx="353">
                  <c:v>1.0379369155228613</c:v>
                </c:pt>
                <c:pt idx="354">
                  <c:v>1.0397671642177264</c:v>
                </c:pt>
                <c:pt idx="355">
                  <c:v>1.0602479869743848</c:v>
                </c:pt>
                <c:pt idx="356">
                  <c:v>1.0561820883945408</c:v>
                </c:pt>
                <c:pt idx="357">
                  <c:v>1.0517381834697486</c:v>
                </c:pt>
                <c:pt idx="358">
                  <c:v>1.0693602967948221</c:v>
                </c:pt>
                <c:pt idx="359">
                  <c:v>1.0680683503365751</c:v>
                </c:pt>
                <c:pt idx="360">
                  <c:v>1.0643088605347435</c:v>
                </c:pt>
                <c:pt idx="361">
                  <c:v>1.0488958725135338</c:v>
                </c:pt>
                <c:pt idx="362">
                  <c:v>1.0362720845549127</c:v>
                </c:pt>
                <c:pt idx="363">
                  <c:v>1.0668861424179088</c:v>
                </c:pt>
                <c:pt idx="364">
                  <c:v>1.0536796955378462</c:v>
                </c:pt>
                <c:pt idx="365">
                  <c:v>1.0562444416986745</c:v>
                </c:pt>
                <c:pt idx="366">
                  <c:v>1.0422985449076445</c:v>
                </c:pt>
                <c:pt idx="367">
                  <c:v>1.0176151763377876</c:v>
                </c:pt>
                <c:pt idx="368">
                  <c:v>1.0282436199670029</c:v>
                </c:pt>
                <c:pt idx="369">
                  <c:v>1.029472365807516</c:v>
                </c:pt>
                <c:pt idx="370">
                  <c:v>0.9936343452978591</c:v>
                </c:pt>
                <c:pt idx="371">
                  <c:v>0.97896245852664632</c:v>
                </c:pt>
                <c:pt idx="372">
                  <c:v>0.94866049164145116</c:v>
                </c:pt>
                <c:pt idx="373">
                  <c:v>0.94866049164145116</c:v>
                </c:pt>
                <c:pt idx="374">
                  <c:v>0.94866049164145116</c:v>
                </c:pt>
                <c:pt idx="375">
                  <c:v>0.94866049164145116</c:v>
                </c:pt>
                <c:pt idx="376">
                  <c:v>0.94866049164145116</c:v>
                </c:pt>
                <c:pt idx="377">
                  <c:v>0.94866049164145116</c:v>
                </c:pt>
                <c:pt idx="378">
                  <c:v>0.94341354724543258</c:v>
                </c:pt>
                <c:pt idx="379">
                  <c:v>0.96294588629531064</c:v>
                </c:pt>
                <c:pt idx="380">
                  <c:v>0.95926562500318679</c:v>
                </c:pt>
                <c:pt idx="381">
                  <c:v>0.97427987302266739</c:v>
                </c:pt>
                <c:pt idx="382">
                  <c:v>0.96466694325073599</c:v>
                </c:pt>
                <c:pt idx="383">
                  <c:v>0.98765930034320992</c:v>
                </c:pt>
                <c:pt idx="384">
                  <c:v>0.9797764873683108</c:v>
                </c:pt>
                <c:pt idx="385">
                  <c:v>0.9613012704136179</c:v>
                </c:pt>
                <c:pt idx="386">
                  <c:v>0.95739634454837841</c:v>
                </c:pt>
                <c:pt idx="387">
                  <c:v>0.97749037937750782</c:v>
                </c:pt>
                <c:pt idx="388">
                  <c:v>0.92890665883318047</c:v>
                </c:pt>
                <c:pt idx="389">
                  <c:v>0.96420790534756629</c:v>
                </c:pt>
                <c:pt idx="390">
                  <c:v>0.99009460934678994</c:v>
                </c:pt>
                <c:pt idx="391">
                  <c:v>0.98892310051807852</c:v>
                </c:pt>
                <c:pt idx="392">
                  <c:v>1.002797291767739</c:v>
                </c:pt>
                <c:pt idx="393">
                  <c:v>0.98189169725832626</c:v>
                </c:pt>
                <c:pt idx="394">
                  <c:v>0.97953553692472273</c:v>
                </c:pt>
                <c:pt idx="395">
                  <c:v>0.97953553692472273</c:v>
                </c:pt>
                <c:pt idx="396">
                  <c:v>0.97953553692472273</c:v>
                </c:pt>
                <c:pt idx="397">
                  <c:v>0.98014653997103007</c:v>
                </c:pt>
                <c:pt idx="398">
                  <c:v>0.99017514623183622</c:v>
                </c:pt>
                <c:pt idx="399">
                  <c:v>0.9974766859500992</c:v>
                </c:pt>
                <c:pt idx="400">
                  <c:v>0.94669143109739373</c:v>
                </c:pt>
                <c:pt idx="401">
                  <c:v>0.89178290944462901</c:v>
                </c:pt>
                <c:pt idx="402">
                  <c:v>0.90459882710710726</c:v>
                </c:pt>
                <c:pt idx="403">
                  <c:v>0.98184199013012274</c:v>
                </c:pt>
                <c:pt idx="404">
                  <c:v>1.0692794477851542</c:v>
                </c:pt>
                <c:pt idx="405">
                  <c:v>1.1117319445897165</c:v>
                </c:pt>
                <c:pt idx="406">
                  <c:v>1.1445271079243566</c:v>
                </c:pt>
                <c:pt idx="407">
                  <c:v>1.1329174948231913</c:v>
                </c:pt>
                <c:pt idx="408">
                  <c:v>1.1942440422177634</c:v>
                </c:pt>
                <c:pt idx="409">
                  <c:v>1.187445335312364</c:v>
                </c:pt>
                <c:pt idx="410">
                  <c:v>1.1838414625485552</c:v>
                </c:pt>
                <c:pt idx="411">
                  <c:v>1.1685093630715198</c:v>
                </c:pt>
                <c:pt idx="412">
                  <c:v>1.1886573963449631</c:v>
                </c:pt>
                <c:pt idx="413">
                  <c:v>1.2068426383527089</c:v>
                </c:pt>
                <c:pt idx="414">
                  <c:v>1.1575423677301204</c:v>
                </c:pt>
                <c:pt idx="415">
                  <c:v>1.1350480561697474</c:v>
                </c:pt>
                <c:pt idx="416">
                  <c:v>1.1437180078859415</c:v>
                </c:pt>
                <c:pt idx="417">
                  <c:v>1.1608324365884966</c:v>
                </c:pt>
                <c:pt idx="418">
                  <c:v>1.124846920705997</c:v>
                </c:pt>
                <c:pt idx="419">
                  <c:v>1.134952337558933</c:v>
                </c:pt>
                <c:pt idx="420">
                  <c:v>1.1460899706611216</c:v>
                </c:pt>
                <c:pt idx="421">
                  <c:v>1.1687620824233278</c:v>
                </c:pt>
                <c:pt idx="422">
                  <c:v>1.1338187295109572</c:v>
                </c:pt>
                <c:pt idx="423">
                  <c:v>1.1504038801974215</c:v>
                </c:pt>
                <c:pt idx="424">
                  <c:v>1.2353849182215968</c:v>
                </c:pt>
                <c:pt idx="425">
                  <c:v>1.2473660128277118</c:v>
                </c:pt>
                <c:pt idx="426">
                  <c:v>1.2242415181272936</c:v>
                </c:pt>
                <c:pt idx="427">
                  <c:v>1.2222227048840182</c:v>
                </c:pt>
                <c:pt idx="428">
                  <c:v>1.2150242250399375</c:v>
                </c:pt>
                <c:pt idx="429">
                  <c:v>1.2067770280514543</c:v>
                </c:pt>
                <c:pt idx="430">
                  <c:v>1.1717482123148195</c:v>
                </c:pt>
                <c:pt idx="431">
                  <c:v>1.1667203204912142</c:v>
                </c:pt>
                <c:pt idx="432">
                  <c:v>1.1980181250407824</c:v>
                </c:pt>
                <c:pt idx="433">
                  <c:v>1.2086708317402985</c:v>
                </c:pt>
                <c:pt idx="434">
                  <c:v>1.1839544597360732</c:v>
                </c:pt>
                <c:pt idx="435">
                  <c:v>1.13951138422531</c:v>
                </c:pt>
                <c:pt idx="436">
                  <c:v>1.0823359483280428</c:v>
                </c:pt>
                <c:pt idx="437">
                  <c:v>1.1406319559473381</c:v>
                </c:pt>
                <c:pt idx="438">
                  <c:v>1.1538387638353882</c:v>
                </c:pt>
                <c:pt idx="439">
                  <c:v>1.1896853968162353</c:v>
                </c:pt>
                <c:pt idx="440">
                  <c:v>1.2252454711058047</c:v>
                </c:pt>
                <c:pt idx="441">
                  <c:v>1.2775499697590087</c:v>
                </c:pt>
                <c:pt idx="442">
                  <c:v>1.2202435551594948</c:v>
                </c:pt>
                <c:pt idx="443">
                  <c:v>1.2537672094147876</c:v>
                </c:pt>
                <c:pt idx="444">
                  <c:v>1.3277490286899156</c:v>
                </c:pt>
                <c:pt idx="445">
                  <c:v>1.362710670369673</c:v>
                </c:pt>
                <c:pt idx="446">
                  <c:v>1.3375783529593965</c:v>
                </c:pt>
                <c:pt idx="447">
                  <c:v>1.3154528285581111</c:v>
                </c:pt>
                <c:pt idx="448">
                  <c:v>1.3154528285581111</c:v>
                </c:pt>
                <c:pt idx="449">
                  <c:v>1.3801627409600608</c:v>
                </c:pt>
                <c:pt idx="450">
                  <c:v>1.4165346578984925</c:v>
                </c:pt>
                <c:pt idx="451">
                  <c:v>1.4003163058644574</c:v>
                </c:pt>
                <c:pt idx="452">
                  <c:v>1.4348516905127404</c:v>
                </c:pt>
                <c:pt idx="453">
                  <c:v>1.4546996264720269</c:v>
                </c:pt>
                <c:pt idx="454">
                  <c:v>1.4470166828904061</c:v>
                </c:pt>
                <c:pt idx="455">
                  <c:v>1.4437272978955851</c:v>
                </c:pt>
                <c:pt idx="456">
                  <c:v>1.4454511376947923</c:v>
                </c:pt>
                <c:pt idx="457">
                  <c:v>1.4483033421817715</c:v>
                </c:pt>
                <c:pt idx="458">
                  <c:v>1.4275844677176179</c:v>
                </c:pt>
                <c:pt idx="459">
                  <c:v>1.4121578328302675</c:v>
                </c:pt>
                <c:pt idx="460">
                  <c:v>1.4066601359813191</c:v>
                </c:pt>
                <c:pt idx="461">
                  <c:v>1.4049948270859502</c:v>
                </c:pt>
                <c:pt idx="462">
                  <c:v>1.3884998204401873</c:v>
                </c:pt>
                <c:pt idx="463">
                  <c:v>1.3423258697228637</c:v>
                </c:pt>
                <c:pt idx="464">
                  <c:v>1.3416395015694431</c:v>
                </c:pt>
                <c:pt idx="465">
                  <c:v>1.4083289931418466</c:v>
                </c:pt>
                <c:pt idx="466">
                  <c:v>1.4008359853166472</c:v>
                </c:pt>
                <c:pt idx="467">
                  <c:v>1.3475900601794479</c:v>
                </c:pt>
                <c:pt idx="468">
                  <c:v>1.3197397710054695</c:v>
                </c:pt>
                <c:pt idx="469">
                  <c:v>1.2994310076829572</c:v>
                </c:pt>
                <c:pt idx="470">
                  <c:v>1.2925691019808703</c:v>
                </c:pt>
                <c:pt idx="471">
                  <c:v>1.2617039498329561</c:v>
                </c:pt>
                <c:pt idx="472">
                  <c:v>1.2676809440698964</c:v>
                </c:pt>
                <c:pt idx="473">
                  <c:v>1.2839469309589031</c:v>
                </c:pt>
                <c:pt idx="474">
                  <c:v>1.2829281226248099</c:v>
                </c:pt>
                <c:pt idx="475">
                  <c:v>1.2878795515049548</c:v>
                </c:pt>
                <c:pt idx="476">
                  <c:v>1.2716178157859384</c:v>
                </c:pt>
                <c:pt idx="477">
                  <c:v>1.241595459371839</c:v>
                </c:pt>
                <c:pt idx="478">
                  <c:v>1.2196652182088026</c:v>
                </c:pt>
                <c:pt idx="479">
                  <c:v>1.2483603455378436</c:v>
                </c:pt>
                <c:pt idx="480">
                  <c:v>1.2634189936690956</c:v>
                </c:pt>
                <c:pt idx="481">
                  <c:v>1.3034137534152808</c:v>
                </c:pt>
                <c:pt idx="482">
                  <c:v>1.2963331914112963</c:v>
                </c:pt>
                <c:pt idx="483">
                  <c:v>1.2963331914112963</c:v>
                </c:pt>
                <c:pt idx="484">
                  <c:v>1.3039677052554297</c:v>
                </c:pt>
                <c:pt idx="485">
                  <c:v>1.3032158078376312</c:v>
                </c:pt>
                <c:pt idx="486">
                  <c:v>1.3124333382199449</c:v>
                </c:pt>
                <c:pt idx="487">
                  <c:v>1.2859283754793753</c:v>
                </c:pt>
                <c:pt idx="488">
                  <c:v>1.2900505369153734</c:v>
                </c:pt>
                <c:pt idx="489">
                  <c:v>1.287203491865994</c:v>
                </c:pt>
                <c:pt idx="490">
                  <c:v>1.2613724264060777</c:v>
                </c:pt>
                <c:pt idx="491">
                  <c:v>1.2440421022496917</c:v>
                </c:pt>
                <c:pt idx="492">
                  <c:v>1.2603091056007263</c:v>
                </c:pt>
                <c:pt idx="493">
                  <c:v>1.2393694261320105</c:v>
                </c:pt>
                <c:pt idx="494">
                  <c:v>1.209885573850773</c:v>
                </c:pt>
                <c:pt idx="495">
                  <c:v>1.2210575456820703</c:v>
                </c:pt>
                <c:pt idx="496">
                  <c:v>1.2168896884192257</c:v>
                </c:pt>
                <c:pt idx="497">
                  <c:v>1.1960129194100779</c:v>
                </c:pt>
                <c:pt idx="498">
                  <c:v>1.1785328008243185</c:v>
                </c:pt>
                <c:pt idx="499">
                  <c:v>1.1878161474250093</c:v>
                </c:pt>
                <c:pt idx="500">
                  <c:v>1.1802706933104146</c:v>
                </c:pt>
                <c:pt idx="501">
                  <c:v>1.1441936024293984</c:v>
                </c:pt>
                <c:pt idx="502">
                  <c:v>1.1441936024293984</c:v>
                </c:pt>
                <c:pt idx="503">
                  <c:v>1.1396909934821142</c:v>
                </c:pt>
                <c:pt idx="504">
                  <c:v>1.1232561284698908</c:v>
                </c:pt>
                <c:pt idx="505">
                  <c:v>1.1325905732129091</c:v>
                </c:pt>
                <c:pt idx="506">
                  <c:v>1.1054026990555323</c:v>
                </c:pt>
                <c:pt idx="507">
                  <c:v>1.1038938789655237</c:v>
                </c:pt>
                <c:pt idx="508">
                  <c:v>1.0980405544713912</c:v>
                </c:pt>
                <c:pt idx="509">
                  <c:v>1.1072149533591089</c:v>
                </c:pt>
                <c:pt idx="510">
                  <c:v>1.103876869658599</c:v>
                </c:pt>
                <c:pt idx="511">
                  <c:v>1.0867238060055744</c:v>
                </c:pt>
                <c:pt idx="512">
                  <c:v>1.0784051264516759</c:v>
                </c:pt>
                <c:pt idx="513">
                  <c:v>1.0715041180251941</c:v>
                </c:pt>
                <c:pt idx="514">
                  <c:v>1.0468878925687655</c:v>
                </c:pt>
                <c:pt idx="515">
                  <c:v>1.0293179484026722</c:v>
                </c:pt>
                <c:pt idx="516">
                  <c:v>1.0069301413701286</c:v>
                </c:pt>
                <c:pt idx="517">
                  <c:v>0.99925997008895862</c:v>
                </c:pt>
                <c:pt idx="518">
                  <c:v>0.98163715179175082</c:v>
                </c:pt>
                <c:pt idx="519">
                  <c:v>0.9808862178483746</c:v>
                </c:pt>
                <c:pt idx="520">
                  <c:v>0.98511863788425869</c:v>
                </c:pt>
                <c:pt idx="521">
                  <c:v>0.9669136005605492</c:v>
                </c:pt>
                <c:pt idx="522">
                  <c:v>0.96775450816339248</c:v>
                </c:pt>
                <c:pt idx="523">
                  <c:v>0.9767029740617108</c:v>
                </c:pt>
                <c:pt idx="524">
                  <c:v>0.97128392529319463</c:v>
                </c:pt>
                <c:pt idx="525">
                  <c:v>0.99306275468330152</c:v>
                </c:pt>
                <c:pt idx="526">
                  <c:v>0.98608120659803422</c:v>
                </c:pt>
                <c:pt idx="527">
                  <c:v>0.98407652322770356</c:v>
                </c:pt>
                <c:pt idx="528">
                  <c:v>0.96249792004841028</c:v>
                </c:pt>
                <c:pt idx="529">
                  <c:v>0.96893475914627225</c:v>
                </c:pt>
                <c:pt idx="530">
                  <c:v>0.96893475914627225</c:v>
                </c:pt>
                <c:pt idx="531">
                  <c:v>0.96893475914627225</c:v>
                </c:pt>
                <c:pt idx="532">
                  <c:v>0.96893475914627225</c:v>
                </c:pt>
                <c:pt idx="533">
                  <c:v>0.96893475914627225</c:v>
                </c:pt>
                <c:pt idx="534">
                  <c:v>0.96893475914627225</c:v>
                </c:pt>
                <c:pt idx="535">
                  <c:v>0.9577248079529781</c:v>
                </c:pt>
                <c:pt idx="536">
                  <c:v>0.94713882050124676</c:v>
                </c:pt>
                <c:pt idx="537">
                  <c:v>0.94285467689364988</c:v>
                </c:pt>
                <c:pt idx="538">
                  <c:v>0.93783928982185794</c:v>
                </c:pt>
                <c:pt idx="539">
                  <c:v>0.92204498333344609</c:v>
                </c:pt>
                <c:pt idx="540">
                  <c:v>0.91623239490398345</c:v>
                </c:pt>
                <c:pt idx="541">
                  <c:v>0.93447700456798843</c:v>
                </c:pt>
                <c:pt idx="542">
                  <c:v>0.94758584111950594</c:v>
                </c:pt>
                <c:pt idx="543">
                  <c:v>0.95444576634845402</c:v>
                </c:pt>
                <c:pt idx="544">
                  <c:v>0.93054646300362842</c:v>
                </c:pt>
                <c:pt idx="545">
                  <c:v>0.95671568295597265</c:v>
                </c:pt>
                <c:pt idx="546">
                  <c:v>0.97372354487527701</c:v>
                </c:pt>
                <c:pt idx="547">
                  <c:v>0.98664119085444879</c:v>
                </c:pt>
                <c:pt idx="548">
                  <c:v>1.001734763687339</c:v>
                </c:pt>
                <c:pt idx="549">
                  <c:v>1.0091910553818049</c:v>
                </c:pt>
                <c:pt idx="550">
                  <c:v>1.0028373785251379</c:v>
                </c:pt>
                <c:pt idx="551">
                  <c:v>1.0040510573390038</c:v>
                </c:pt>
                <c:pt idx="552">
                  <c:v>0.99801673424013537</c:v>
                </c:pt>
                <c:pt idx="553">
                  <c:v>0.94990947231138589</c:v>
                </c:pt>
                <c:pt idx="554">
                  <c:v>1.0096783542324372</c:v>
                </c:pt>
                <c:pt idx="555">
                  <c:v>1.0023825769163128</c:v>
                </c:pt>
                <c:pt idx="556">
                  <c:v>0.96492501378050544</c:v>
                </c:pt>
                <c:pt idx="557">
                  <c:v>0.96833870508923225</c:v>
                </c:pt>
                <c:pt idx="558">
                  <c:v>0.96663084573848401</c:v>
                </c:pt>
                <c:pt idx="559">
                  <c:v>0.98264325180365142</c:v>
                </c:pt>
                <c:pt idx="560">
                  <c:v>0.98436271851636015</c:v>
                </c:pt>
                <c:pt idx="561">
                  <c:v>1.0083784288166839</c:v>
                </c:pt>
                <c:pt idx="562">
                  <c:v>1.0014518446280607</c:v>
                </c:pt>
                <c:pt idx="563">
                  <c:v>1</c:v>
                </c:pt>
                <c:pt idx="56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826656"/>
        <c:axId val="615827048"/>
      </c:lineChart>
      <c:dateAx>
        <c:axId val="615826656"/>
        <c:scaling>
          <c:orientation val="minMax"/>
          <c:min val="42004"/>
        </c:scaling>
        <c:delete val="0"/>
        <c:axPos val="b"/>
        <c:numFmt formatCode="[$-41B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5827048"/>
        <c:crosses val="autoZero"/>
        <c:auto val="0"/>
        <c:lblOffset val="100"/>
        <c:baseTimeUnit val="days"/>
        <c:majorUnit val="2"/>
        <c:majorTimeUnit val="months"/>
      </c:dateAx>
      <c:valAx>
        <c:axId val="615827048"/>
        <c:scaling>
          <c:orientation val="minMax"/>
          <c:max val="1.5"/>
          <c:min val="0.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582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192085306679841"/>
          <c:y val="4.9272256767735355E-2"/>
          <c:w val="0.40836802376447129"/>
          <c:h val="0.2157438624847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052493438320214"/>
        </c:manualLayout>
      </c:layout>
      <c:lineChart>
        <c:grouping val="standard"/>
        <c:varyColors val="0"/>
        <c:ser>
          <c:idx val="3"/>
          <c:order val="0"/>
          <c:tx>
            <c:strRef>
              <c:f>'Graf 54 +55'!$J$6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54 +55'!$K$34:$U$34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+55'!$K$35:$U$35</c:f>
              <c:numCache>
                <c:formatCode>#\ ##0.0</c:formatCode>
                <c:ptCount val="11"/>
                <c:pt idx="0">
                  <c:v>3.2</c:v>
                </c:pt>
                <c:pt idx="1">
                  <c:v>3.2</c:v>
                </c:pt>
                <c:pt idx="2">
                  <c:v>3.3</c:v>
                </c:pt>
                <c:pt idx="3">
                  <c:v>3.6</c:v>
                </c:pt>
                <c:pt idx="4">
                  <c:v>3.4</c:v>
                </c:pt>
                <c:pt idx="5">
                  <c:v>3.1</c:v>
                </c:pt>
                <c:pt idx="6">
                  <c:v>2.9</c:v>
                </c:pt>
                <c:pt idx="7">
                  <c:v>2.8</c:v>
                </c:pt>
                <c:pt idx="8">
                  <c:v>2.7</c:v>
                </c:pt>
                <c:pt idx="9">
                  <c:v>2.7</c:v>
                </c:pt>
                <c:pt idx="10" formatCode="0.0">
                  <c:v>2.6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54 +55'!$J$39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54 +55'!$K$34:$U$34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+55'!$K$39:$U$39</c:f>
              <c:numCache>
                <c:formatCode>#\ ##0.0</c:formatCode>
                <c:ptCount val="11"/>
                <c:pt idx="0">
                  <c:v>3.8</c:v>
                </c:pt>
                <c:pt idx="1">
                  <c:v>3.2</c:v>
                </c:pt>
                <c:pt idx="2">
                  <c:v>3.4</c:v>
                </c:pt>
                <c:pt idx="3">
                  <c:v>3.9</c:v>
                </c:pt>
                <c:pt idx="4">
                  <c:v>3.6</c:v>
                </c:pt>
                <c:pt idx="5">
                  <c:v>3.8</c:v>
                </c:pt>
                <c:pt idx="6">
                  <c:v>3.4</c:v>
                </c:pt>
                <c:pt idx="7">
                  <c:v>3.3</c:v>
                </c:pt>
                <c:pt idx="8">
                  <c:v>4</c:v>
                </c:pt>
                <c:pt idx="9">
                  <c:v>6.3</c:v>
                </c:pt>
                <c:pt idx="10" formatCode="0.0">
                  <c:v>3.2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54 +55'!$J$11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'Graf 54 +55'!$K$34:$U$34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+55'!$K$40:$U$40</c:f>
              <c:numCache>
                <c:formatCode>#\ ##0.0</c:formatCode>
                <c:ptCount val="11"/>
                <c:pt idx="0">
                  <c:v>4.7</c:v>
                </c:pt>
                <c:pt idx="1">
                  <c:v>4.4666666666666659</c:v>
                </c:pt>
                <c:pt idx="2">
                  <c:v>4.333333333333333</c:v>
                </c:pt>
                <c:pt idx="3">
                  <c:v>4.6333333333333337</c:v>
                </c:pt>
                <c:pt idx="4">
                  <c:v>4.666666666666667</c:v>
                </c:pt>
                <c:pt idx="5">
                  <c:v>4.5666666666666664</c:v>
                </c:pt>
                <c:pt idx="6">
                  <c:v>4.2</c:v>
                </c:pt>
                <c:pt idx="7">
                  <c:v>4.0666666666666673</c:v>
                </c:pt>
                <c:pt idx="8">
                  <c:v>4.666666666666667</c:v>
                </c:pt>
                <c:pt idx="9">
                  <c:v>5.3666666666666671</c:v>
                </c:pt>
                <c:pt idx="10" formatCode="0.0">
                  <c:v>3.2666666666666671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446704"/>
        <c:axId val="663447096"/>
      </c:lineChart>
      <c:catAx>
        <c:axId val="663446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663447096"/>
        <c:crosses val="autoZero"/>
        <c:auto val="1"/>
        <c:lblAlgn val="ctr"/>
        <c:lblOffset val="100"/>
        <c:noMultiLvlLbl val="0"/>
      </c:catAx>
      <c:valAx>
        <c:axId val="663447096"/>
        <c:scaling>
          <c:orientation val="minMax"/>
          <c:max val="6.5"/>
          <c:min val="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6344670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"/>
          <c:y val="0.16470618256051328"/>
          <c:w val="0.52630916666666672"/>
          <c:h val="0.10366579177602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7126567512394284"/>
        </c:manualLayout>
      </c:layout>
      <c:lineChart>
        <c:grouping val="standard"/>
        <c:varyColors val="0"/>
        <c:ser>
          <c:idx val="3"/>
          <c:order val="0"/>
          <c:tx>
            <c:strRef>
              <c:f>'Graf 54 +55'!$J$21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54 +55'!$K$48:$U$48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+55'!$K$49:$U$49</c:f>
              <c:numCache>
                <c:formatCode>#\ ##0.0</c:formatCode>
                <c:ptCount val="11"/>
                <c:pt idx="0">
                  <c:v>46.1</c:v>
                </c:pt>
                <c:pt idx="1">
                  <c:v>45.3</c:v>
                </c:pt>
                <c:pt idx="2">
                  <c:v>46.6</c:v>
                </c:pt>
                <c:pt idx="3">
                  <c:v>50.7</c:v>
                </c:pt>
                <c:pt idx="4">
                  <c:v>50.5</c:v>
                </c:pt>
                <c:pt idx="5">
                  <c:v>49.1</c:v>
                </c:pt>
                <c:pt idx="6">
                  <c:v>49.7</c:v>
                </c:pt>
                <c:pt idx="7">
                  <c:v>49.7</c:v>
                </c:pt>
                <c:pt idx="8">
                  <c:v>49.4</c:v>
                </c:pt>
                <c:pt idx="9">
                  <c:v>48.5</c:v>
                </c:pt>
                <c:pt idx="10" formatCode="General">
                  <c:v>47.7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54 +55'!$J$39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54 +55'!$K$48:$U$48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+55'!$K$53:$U$53</c:f>
              <c:numCache>
                <c:formatCode>#\ ##0.0</c:formatCode>
                <c:ptCount val="11"/>
                <c:pt idx="0">
                  <c:v>38.799999999999997</c:v>
                </c:pt>
                <c:pt idx="1">
                  <c:v>36.299999999999997</c:v>
                </c:pt>
                <c:pt idx="2">
                  <c:v>36.9</c:v>
                </c:pt>
                <c:pt idx="3">
                  <c:v>44.1</c:v>
                </c:pt>
                <c:pt idx="4">
                  <c:v>42.1</c:v>
                </c:pt>
                <c:pt idx="5">
                  <c:v>40.799999999999997</c:v>
                </c:pt>
                <c:pt idx="6">
                  <c:v>40.6</c:v>
                </c:pt>
                <c:pt idx="7">
                  <c:v>41.4</c:v>
                </c:pt>
                <c:pt idx="8">
                  <c:v>42</c:v>
                </c:pt>
                <c:pt idx="9">
                  <c:v>45.6</c:v>
                </c:pt>
                <c:pt idx="10" formatCode="0.0">
                  <c:v>41.6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54 +55'!$J$26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'Graf 54 +55'!$K$48:$U$48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+55'!$K$54:$U$54</c:f>
              <c:numCache>
                <c:formatCode>#\ ##0.0</c:formatCode>
                <c:ptCount val="11"/>
                <c:pt idx="0">
                  <c:v>45.666666666666664</c:v>
                </c:pt>
                <c:pt idx="1">
                  <c:v>44.4</c:v>
                </c:pt>
                <c:pt idx="2">
                  <c:v>44.366666666666674</c:v>
                </c:pt>
                <c:pt idx="3">
                  <c:v>46.366666666666667</c:v>
                </c:pt>
                <c:pt idx="4">
                  <c:v>46.066666666666663</c:v>
                </c:pt>
                <c:pt idx="5">
                  <c:v>45.5</c:v>
                </c:pt>
                <c:pt idx="6">
                  <c:v>45.266666666666673</c:v>
                </c:pt>
                <c:pt idx="7">
                  <c:v>44.766666666666673</c:v>
                </c:pt>
                <c:pt idx="8">
                  <c:v>44.433333333333337</c:v>
                </c:pt>
                <c:pt idx="9">
                  <c:v>44.5</c:v>
                </c:pt>
                <c:pt idx="10" formatCode="General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447880"/>
        <c:axId val="663448272"/>
      </c:lineChart>
      <c:catAx>
        <c:axId val="663447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663448272"/>
        <c:crosses val="autoZero"/>
        <c:auto val="1"/>
        <c:lblAlgn val="ctr"/>
        <c:lblOffset val="100"/>
        <c:noMultiLvlLbl val="0"/>
      </c:catAx>
      <c:valAx>
        <c:axId val="663448272"/>
        <c:scaling>
          <c:orientation val="minMax"/>
          <c:min val="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6344788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"/>
          <c:y val="5.8224701079031785E-2"/>
          <c:w val="0.72811094559126055"/>
          <c:h val="0.22866579177602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56'!$L$16</c:f>
              <c:strCache>
                <c:ptCount val="1"/>
                <c:pt idx="0">
                  <c:v>p. b. HDP 2017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3.8929440389294405E-2"/>
                  <c:y val="7.239819004524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56'!$K$17:$K$26</c:f>
              <c:strCache>
                <c:ptCount val="10"/>
                <c:pt idx="0">
                  <c:v> Sociálne zabezpečenie</c:v>
                </c:pt>
                <c:pt idx="1">
                  <c:v> Vzdelávanie</c:v>
                </c:pt>
                <c:pt idx="2">
                  <c:v> Rekreácia, kultúra a náboženstvo</c:v>
                </c:pt>
                <c:pt idx="3">
                  <c:v> Zdravotníctvo</c:v>
                </c:pt>
                <c:pt idx="4">
                  <c:v> Bývanie a občianska vybavenosť</c:v>
                </c:pt>
                <c:pt idx="5">
                  <c:v> Ochrana životného prostredia</c:v>
                </c:pt>
                <c:pt idx="6">
                  <c:v> Ekonomická oblasť</c:v>
                </c:pt>
                <c:pt idx="7">
                  <c:v> Verejný poriadok a bezpečnosť</c:v>
                </c:pt>
                <c:pt idx="8">
                  <c:v>Obrana</c:v>
                </c:pt>
                <c:pt idx="9">
                  <c:v> Všeobecné verejné služby</c:v>
                </c:pt>
              </c:strCache>
            </c:strRef>
          </c:cat>
          <c:val>
            <c:numRef>
              <c:f>'Graf 56'!$L$17:$L$26</c:f>
              <c:numCache>
                <c:formatCode>0.00</c:formatCode>
                <c:ptCount val="10"/>
                <c:pt idx="0">
                  <c:v>0.15312973150018827</c:v>
                </c:pt>
                <c:pt idx="1">
                  <c:v>7.0913692332155165E-3</c:v>
                </c:pt>
                <c:pt idx="2">
                  <c:v>8.0834098781071839E-3</c:v>
                </c:pt>
                <c:pt idx="3">
                  <c:v>5.3258025203040127E-2</c:v>
                </c:pt>
                <c:pt idx="4">
                  <c:v>2.0761192123991412E-3</c:v>
                </c:pt>
                <c:pt idx="5">
                  <c:v>7.3633997791875405E-3</c:v>
                </c:pt>
                <c:pt idx="6">
                  <c:v>-0.12221055242175627</c:v>
                </c:pt>
                <c:pt idx="7">
                  <c:v>4.1155524823066614E-3</c:v>
                </c:pt>
                <c:pt idx="8">
                  <c:v>1.1938154505797272E-4</c:v>
                </c:pt>
                <c:pt idx="9">
                  <c:v>-1.6366838608514733E-2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663449056"/>
        <c:axId val="663449448"/>
      </c:barChart>
      <c:catAx>
        <c:axId val="66344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49448"/>
        <c:crossesAt val="0"/>
        <c:auto val="1"/>
        <c:lblAlgn val="ctr"/>
        <c:lblOffset val="100"/>
        <c:noMultiLvlLbl val="0"/>
      </c:catAx>
      <c:valAx>
        <c:axId val="663449448"/>
        <c:scaling>
          <c:orientation val="minMax"/>
          <c:min val="-0.15000000000000002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4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27062706270626E-2"/>
          <c:y val="5.1103368176538912E-2"/>
          <c:w val="0.90329201424079419"/>
          <c:h val="0.841123030352913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 56'!$L$16</c:f>
              <c:strCache>
                <c:ptCount val="1"/>
                <c:pt idx="0">
                  <c:v>p. b. HDP 2017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56'!$K$17:$K$26</c:f>
              <c:strCache>
                <c:ptCount val="10"/>
                <c:pt idx="0">
                  <c:v> Sociálne zabezpečenie</c:v>
                </c:pt>
                <c:pt idx="1">
                  <c:v> Vzdelávanie</c:v>
                </c:pt>
                <c:pt idx="2">
                  <c:v> Rekreácia, kultúra a náboženstvo</c:v>
                </c:pt>
                <c:pt idx="3">
                  <c:v> Zdravotníctvo</c:v>
                </c:pt>
                <c:pt idx="4">
                  <c:v> Bývanie a občianska vybavenosť</c:v>
                </c:pt>
                <c:pt idx="5">
                  <c:v> Ochrana životného prostredia</c:v>
                </c:pt>
                <c:pt idx="6">
                  <c:v> Ekonomická oblasť</c:v>
                </c:pt>
                <c:pt idx="7">
                  <c:v> Verejný poriadok a bezpečnosť</c:v>
                </c:pt>
                <c:pt idx="8">
                  <c:v>Obrana</c:v>
                </c:pt>
                <c:pt idx="9">
                  <c:v> Všeobecné verejné služby</c:v>
                </c:pt>
              </c:strCache>
            </c:strRef>
          </c:cat>
          <c:val>
            <c:numRef>
              <c:f>'Graf 56'!$M$17:$M$26</c:f>
              <c:numCache>
                <c:formatCode>0.00</c:formatCode>
                <c:ptCount val="10"/>
                <c:pt idx="0">
                  <c:v>-0.5358892312206649</c:v>
                </c:pt>
                <c:pt idx="1">
                  <c:v>0.1554250726968478</c:v>
                </c:pt>
                <c:pt idx="2">
                  <c:v>7.4634640066983948E-3</c:v>
                </c:pt>
                <c:pt idx="3">
                  <c:v>-5.7680078650120592E-2</c:v>
                </c:pt>
                <c:pt idx="4">
                  <c:v>4.2580351030791053E-2</c:v>
                </c:pt>
                <c:pt idx="5">
                  <c:v>6.6632549188513357E-3</c:v>
                </c:pt>
                <c:pt idx="6">
                  <c:v>-0.8860331177534273</c:v>
                </c:pt>
                <c:pt idx="7">
                  <c:v>-5.2435383798628887E-2</c:v>
                </c:pt>
                <c:pt idx="8">
                  <c:v>3.7692516690421618E-2</c:v>
                </c:pt>
                <c:pt idx="9">
                  <c:v>-0.44135387276338456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663450232"/>
        <c:axId val="663450624"/>
      </c:barChart>
      <c:catAx>
        <c:axId val="663450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663450624"/>
        <c:crossesAt val="0"/>
        <c:auto val="1"/>
        <c:lblAlgn val="ctr"/>
        <c:lblOffset val="100"/>
        <c:noMultiLvlLbl val="0"/>
      </c:catAx>
      <c:valAx>
        <c:axId val="663450624"/>
        <c:scaling>
          <c:orientation val="minMax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50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56'!$L$16</c:f>
              <c:strCache>
                <c:ptCount val="1"/>
                <c:pt idx="0">
                  <c:v>p. b. HDP 2017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3.8094997649043283E-2"/>
                  <c:y val="8.4464555052790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56'!$K$29:$K$38</c:f>
              <c:strCache>
                <c:ptCount val="10"/>
                <c:pt idx="0">
                  <c:v>10. Social protection</c:v>
                </c:pt>
                <c:pt idx="1">
                  <c:v>9. Education</c:v>
                </c:pt>
                <c:pt idx="2">
                  <c:v>8. Recreation, culture  and religion</c:v>
                </c:pt>
                <c:pt idx="3">
                  <c:v>7. Health</c:v>
                </c:pt>
                <c:pt idx="4">
                  <c:v>6. housing and community amenities</c:v>
                </c:pt>
                <c:pt idx="5">
                  <c:v>5. Environmental protection</c:v>
                </c:pt>
                <c:pt idx="6">
                  <c:v>4. Economic affairs </c:v>
                </c:pt>
                <c:pt idx="7">
                  <c:v>3. Public order and safety</c:v>
                </c:pt>
                <c:pt idx="8">
                  <c:v>2. Defense</c:v>
                </c:pt>
                <c:pt idx="9">
                  <c:v>1. General public services</c:v>
                </c:pt>
              </c:strCache>
            </c:strRef>
          </c:cat>
          <c:val>
            <c:numRef>
              <c:f>'Graf 56'!$L$29:$L$38</c:f>
              <c:numCache>
                <c:formatCode>0.00</c:formatCode>
                <c:ptCount val="10"/>
                <c:pt idx="0">
                  <c:v>0.15312973150018827</c:v>
                </c:pt>
                <c:pt idx="1">
                  <c:v>7.0913692332155165E-3</c:v>
                </c:pt>
                <c:pt idx="2">
                  <c:v>8.0834098781071839E-3</c:v>
                </c:pt>
                <c:pt idx="3">
                  <c:v>5.3258025203040127E-2</c:v>
                </c:pt>
                <c:pt idx="4">
                  <c:v>2.0761192123991412E-3</c:v>
                </c:pt>
                <c:pt idx="5">
                  <c:v>7.3633997791875405E-3</c:v>
                </c:pt>
                <c:pt idx="6">
                  <c:v>-0.12221055242175627</c:v>
                </c:pt>
                <c:pt idx="7">
                  <c:v>4.1155524823066614E-3</c:v>
                </c:pt>
                <c:pt idx="8">
                  <c:v>1.1938154505797272E-4</c:v>
                </c:pt>
                <c:pt idx="9">
                  <c:v>-1.6366838608514733E-2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663451408"/>
        <c:axId val="663451800"/>
      </c:barChart>
      <c:catAx>
        <c:axId val="66345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51800"/>
        <c:crossesAt val="0"/>
        <c:auto val="1"/>
        <c:lblAlgn val="ctr"/>
        <c:lblOffset val="100"/>
        <c:noMultiLvlLbl val="0"/>
      </c:catAx>
      <c:valAx>
        <c:axId val="663451800"/>
        <c:scaling>
          <c:orientation val="minMax"/>
          <c:min val="-0.15000000000000002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5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27062706270626E-2"/>
          <c:y val="5.1103368176538912E-2"/>
          <c:w val="0.90329201424079419"/>
          <c:h val="0.841123030352913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 56'!$L$16</c:f>
              <c:strCache>
                <c:ptCount val="1"/>
                <c:pt idx="0">
                  <c:v>p. b. HDP 2017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56'!$K$29:$K$38</c:f>
              <c:strCache>
                <c:ptCount val="10"/>
                <c:pt idx="0">
                  <c:v>10. Social protection</c:v>
                </c:pt>
                <c:pt idx="1">
                  <c:v>9. Education</c:v>
                </c:pt>
                <c:pt idx="2">
                  <c:v>8. Recreation, culture  and religion</c:v>
                </c:pt>
                <c:pt idx="3">
                  <c:v>7. Health</c:v>
                </c:pt>
                <c:pt idx="4">
                  <c:v>6. housing and community amenities</c:v>
                </c:pt>
                <c:pt idx="5">
                  <c:v>5. Environmental protection</c:v>
                </c:pt>
                <c:pt idx="6">
                  <c:v>4. Economic affairs </c:v>
                </c:pt>
                <c:pt idx="7">
                  <c:v>3. Public order and safety</c:v>
                </c:pt>
                <c:pt idx="8">
                  <c:v>2. Defense</c:v>
                </c:pt>
                <c:pt idx="9">
                  <c:v>1. General public services</c:v>
                </c:pt>
              </c:strCache>
            </c:strRef>
          </c:cat>
          <c:val>
            <c:numRef>
              <c:f>'Graf 56'!$M$29:$M$38</c:f>
              <c:numCache>
                <c:formatCode>0.00</c:formatCode>
                <c:ptCount val="10"/>
                <c:pt idx="0">
                  <c:v>-0.5358892312206649</c:v>
                </c:pt>
                <c:pt idx="1">
                  <c:v>0.1554250726968478</c:v>
                </c:pt>
                <c:pt idx="2">
                  <c:v>7.4634640066983948E-3</c:v>
                </c:pt>
                <c:pt idx="3">
                  <c:v>-5.7680078650120592E-2</c:v>
                </c:pt>
                <c:pt idx="4">
                  <c:v>4.2580351030791053E-2</c:v>
                </c:pt>
                <c:pt idx="5">
                  <c:v>6.6632549188513357E-3</c:v>
                </c:pt>
                <c:pt idx="6">
                  <c:v>-0.8860331177534273</c:v>
                </c:pt>
                <c:pt idx="7">
                  <c:v>-5.2435383798628887E-2</c:v>
                </c:pt>
                <c:pt idx="8">
                  <c:v>3.7692516690421618E-2</c:v>
                </c:pt>
                <c:pt idx="9">
                  <c:v>-0.44135387276338456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2"/>
        <c:axId val="663452584"/>
        <c:axId val="663452976"/>
      </c:barChart>
      <c:catAx>
        <c:axId val="663452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663452976"/>
        <c:crossesAt val="0"/>
        <c:auto val="1"/>
        <c:lblAlgn val="ctr"/>
        <c:lblOffset val="100"/>
        <c:noMultiLvlLbl val="0"/>
      </c:catAx>
      <c:valAx>
        <c:axId val="663452976"/>
        <c:scaling>
          <c:orientation val="minMax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52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13427063655256E-2"/>
          <c:y val="5.0056882821387941E-2"/>
          <c:w val="0.89617800959593419"/>
          <c:h val="0.68671163544829938"/>
        </c:manualLayout>
      </c:layout>
      <c:barChart>
        <c:barDir val="col"/>
        <c:grouping val="clustered"/>
        <c:varyColors val="0"/>
        <c:ser>
          <c:idx val="1"/>
          <c:order val="1"/>
          <c:tx>
            <c:v>2015</c:v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</c:spPr>
          </c:dPt>
          <c:cat>
            <c:strLit>
              <c:ptCount val="29"/>
              <c:pt idx="0">
                <c:v>ES</c:v>
              </c:pt>
              <c:pt idx="1">
                <c:v>UK</c:v>
              </c:pt>
              <c:pt idx="2">
                <c:v>BG</c:v>
              </c:pt>
              <c:pt idx="3">
                <c:v>EL</c:v>
              </c:pt>
              <c:pt idx="4">
                <c:v>MT</c:v>
              </c:pt>
              <c:pt idx="5">
                <c:v>PT</c:v>
              </c:pt>
              <c:pt idx="6">
                <c:v>RO</c:v>
              </c:pt>
              <c:pt idx="7">
                <c:v>AT - FISK</c:v>
              </c:pt>
              <c:pt idx="8">
                <c:v>IT</c:v>
              </c:pt>
              <c:pt idx="9">
                <c:v>IE</c:v>
              </c:pt>
              <c:pt idx="10">
                <c:v>NL - CPB</c:v>
              </c:pt>
              <c:pt idx="11">
                <c:v>DE</c:v>
              </c:pt>
              <c:pt idx="12">
                <c:v>SE</c:v>
              </c:pt>
              <c:pt idx="13">
                <c:v>SK</c:v>
              </c:pt>
              <c:pt idx="14">
                <c:v>FI</c:v>
              </c:pt>
              <c:pt idx="15">
                <c:v>CY</c:v>
              </c:pt>
              <c:pt idx="16">
                <c:v>HR</c:v>
              </c:pt>
              <c:pt idx="17">
                <c:v>EE</c:v>
              </c:pt>
              <c:pt idx="18">
                <c:v>FR</c:v>
              </c:pt>
              <c:pt idx="19">
                <c:v>LT</c:v>
              </c:pt>
              <c:pt idx="20">
                <c:v>LU - CNPF</c:v>
              </c:pt>
              <c:pt idx="21">
                <c:v>DK - D</c:v>
              </c:pt>
              <c:pt idx="22">
                <c:v>BE - NRI - ICN</c:v>
              </c:pt>
              <c:pt idx="23">
                <c:v>LV</c:v>
              </c:pt>
              <c:pt idx="24">
                <c:v>BE - HRF- CSF</c:v>
              </c:pt>
              <c:pt idx="25">
                <c:v>HU</c:v>
              </c:pt>
              <c:pt idx="26">
                <c:v>AT - WIFO</c:v>
              </c:pt>
              <c:pt idx="27">
                <c:v>NL - RvS</c:v>
              </c:pt>
              <c:pt idx="28">
                <c:v>SI</c:v>
              </c:pt>
            </c:strLit>
          </c:cat>
          <c:val>
            <c:numRef>
              <c:f>'Graf 57 + 58 + 59'!$AG$4:$AG$32</c:f>
              <c:numCache>
                <c:formatCode>0</c:formatCode>
                <c:ptCount val="29"/>
                <c:pt idx="0">
                  <c:v>90</c:v>
                </c:pt>
                <c:pt idx="1">
                  <c:v>90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77.5</c:v>
                </c:pt>
                <c:pt idx="8">
                  <c:v>75</c:v>
                </c:pt>
                <c:pt idx="9">
                  <c:v>72.5</c:v>
                </c:pt>
                <c:pt idx="10">
                  <c:v>72.5</c:v>
                </c:pt>
                <c:pt idx="11">
                  <c:v>70</c:v>
                </c:pt>
                <c:pt idx="12">
                  <c:v>67.5</c:v>
                </c:pt>
                <c:pt idx="13">
                  <c:v>67.5</c:v>
                </c:pt>
                <c:pt idx="14">
                  <c:v>61.25</c:v>
                </c:pt>
                <c:pt idx="15">
                  <c:v>60</c:v>
                </c:pt>
                <c:pt idx="16">
                  <c:v>55</c:v>
                </c:pt>
                <c:pt idx="17">
                  <c:v>52.5</c:v>
                </c:pt>
                <c:pt idx="18">
                  <c:v>52.5</c:v>
                </c:pt>
                <c:pt idx="19">
                  <c:v>51.25</c:v>
                </c:pt>
                <c:pt idx="20">
                  <c:v>48.75</c:v>
                </c:pt>
                <c:pt idx="21">
                  <c:v>47.5</c:v>
                </c:pt>
                <c:pt idx="22">
                  <c:v>42.5</c:v>
                </c:pt>
                <c:pt idx="23">
                  <c:v>41.25</c:v>
                </c:pt>
                <c:pt idx="24">
                  <c:v>40</c:v>
                </c:pt>
                <c:pt idx="25">
                  <c:v>40</c:v>
                </c:pt>
                <c:pt idx="26">
                  <c:v>27.5</c:v>
                </c:pt>
                <c:pt idx="27">
                  <c:v>25</c:v>
                </c:pt>
                <c:pt idx="28">
                  <c:v>21.25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3453760"/>
        <c:axId val="663454152"/>
      </c:barChart>
      <c:lineChart>
        <c:grouping val="standard"/>
        <c:varyColors val="0"/>
        <c:ser>
          <c:idx val="2"/>
          <c:order val="0"/>
          <c:tx>
            <c:v>Priemer SIFI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ES</c:v>
              </c:pt>
              <c:pt idx="1">
                <c:v>UK</c:v>
              </c:pt>
              <c:pt idx="2">
                <c:v>BG</c:v>
              </c:pt>
              <c:pt idx="3">
                <c:v>EL</c:v>
              </c:pt>
              <c:pt idx="4">
                <c:v>MT</c:v>
              </c:pt>
              <c:pt idx="5">
                <c:v>PT</c:v>
              </c:pt>
              <c:pt idx="6">
                <c:v>RO</c:v>
              </c:pt>
              <c:pt idx="7">
                <c:v>AT - FISK</c:v>
              </c:pt>
              <c:pt idx="8">
                <c:v>IT</c:v>
              </c:pt>
              <c:pt idx="9">
                <c:v>IE</c:v>
              </c:pt>
              <c:pt idx="10">
                <c:v>NL - CPB</c:v>
              </c:pt>
              <c:pt idx="11">
                <c:v>DE</c:v>
              </c:pt>
              <c:pt idx="12">
                <c:v>SE</c:v>
              </c:pt>
              <c:pt idx="13">
                <c:v>SK</c:v>
              </c:pt>
              <c:pt idx="14">
                <c:v>FI</c:v>
              </c:pt>
              <c:pt idx="15">
                <c:v>CY</c:v>
              </c:pt>
              <c:pt idx="16">
                <c:v>HR</c:v>
              </c:pt>
              <c:pt idx="17">
                <c:v>EE</c:v>
              </c:pt>
              <c:pt idx="18">
                <c:v>FR</c:v>
              </c:pt>
              <c:pt idx="19">
                <c:v>LT</c:v>
              </c:pt>
              <c:pt idx="20">
                <c:v>LU - CNPF</c:v>
              </c:pt>
              <c:pt idx="21">
                <c:v>DK - D</c:v>
              </c:pt>
              <c:pt idx="22">
                <c:v>BE - NRI - ICN</c:v>
              </c:pt>
              <c:pt idx="23">
                <c:v>LV</c:v>
              </c:pt>
              <c:pt idx="24">
                <c:v>BE - HRF- CSF</c:v>
              </c:pt>
              <c:pt idx="25">
                <c:v>HU</c:v>
              </c:pt>
              <c:pt idx="26">
                <c:v>AT - WIFO</c:v>
              </c:pt>
              <c:pt idx="27">
                <c:v>NL - RvS</c:v>
              </c:pt>
              <c:pt idx="28">
                <c:v>SI</c:v>
              </c:pt>
            </c:strLit>
          </c:cat>
          <c:val>
            <c:numRef>
              <c:f>'Graf 57 + 58 + 59'!$AH$4:$AH$32</c:f>
              <c:numCache>
                <c:formatCode>0</c:formatCode>
                <c:ptCount val="29"/>
                <c:pt idx="0">
                  <c:v>60.301724137931032</c:v>
                </c:pt>
                <c:pt idx="1">
                  <c:v>60.301724137931032</c:v>
                </c:pt>
                <c:pt idx="2">
                  <c:v>60.301724137931032</c:v>
                </c:pt>
                <c:pt idx="3">
                  <c:v>60.301724137931032</c:v>
                </c:pt>
                <c:pt idx="4">
                  <c:v>60.301724137931032</c:v>
                </c:pt>
                <c:pt idx="5">
                  <c:v>60.301724137931032</c:v>
                </c:pt>
                <c:pt idx="6">
                  <c:v>60.301724137931032</c:v>
                </c:pt>
                <c:pt idx="7">
                  <c:v>60.301724137931032</c:v>
                </c:pt>
                <c:pt idx="8">
                  <c:v>60.301724137931032</c:v>
                </c:pt>
                <c:pt idx="9">
                  <c:v>60.301724137931032</c:v>
                </c:pt>
                <c:pt idx="10">
                  <c:v>60.301724137931032</c:v>
                </c:pt>
                <c:pt idx="11">
                  <c:v>60.301724137931032</c:v>
                </c:pt>
                <c:pt idx="12">
                  <c:v>60.301724137931032</c:v>
                </c:pt>
                <c:pt idx="13">
                  <c:v>60.301724137931032</c:v>
                </c:pt>
                <c:pt idx="14">
                  <c:v>60.301724137931032</c:v>
                </c:pt>
                <c:pt idx="15">
                  <c:v>60.301724137931032</c:v>
                </c:pt>
                <c:pt idx="16">
                  <c:v>60.301724137931032</c:v>
                </c:pt>
                <c:pt idx="17">
                  <c:v>60.301724137931032</c:v>
                </c:pt>
                <c:pt idx="18">
                  <c:v>60.301724137931032</c:v>
                </c:pt>
                <c:pt idx="19">
                  <c:v>60.301724137931032</c:v>
                </c:pt>
                <c:pt idx="20">
                  <c:v>60.301724137931032</c:v>
                </c:pt>
                <c:pt idx="21">
                  <c:v>60.301724137931032</c:v>
                </c:pt>
                <c:pt idx="22">
                  <c:v>60.301724137931032</c:v>
                </c:pt>
                <c:pt idx="23">
                  <c:v>60.301724137931032</c:v>
                </c:pt>
                <c:pt idx="24">
                  <c:v>60.301724137931032</c:v>
                </c:pt>
                <c:pt idx="25">
                  <c:v>60.301724137931032</c:v>
                </c:pt>
                <c:pt idx="26">
                  <c:v>60.301724137931032</c:v>
                </c:pt>
                <c:pt idx="27">
                  <c:v>60.301724137931032</c:v>
                </c:pt>
                <c:pt idx="28">
                  <c:v>60.301724137931032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53760"/>
        <c:axId val="663454152"/>
      </c:lineChart>
      <c:catAx>
        <c:axId val="66345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54152"/>
        <c:crosses val="autoZero"/>
        <c:auto val="1"/>
        <c:lblAlgn val="ctr"/>
        <c:lblOffset val="100"/>
        <c:noMultiLvlLbl val="0"/>
      </c:catAx>
      <c:valAx>
        <c:axId val="6634541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537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609135641484297"/>
          <c:y val="7.1271398242455195E-2"/>
          <c:w val="0.41046391494056872"/>
          <c:h val="7.3210968082914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72856701485686"/>
          <c:y val="4.5168443419766106E-2"/>
          <c:w val="0.86405437696336962"/>
          <c:h val="0.92777591990190411"/>
        </c:manualLayout>
      </c:layout>
      <c:barChart>
        <c:barDir val="col"/>
        <c:grouping val="clustered"/>
        <c:varyColors val="0"/>
        <c:ser>
          <c:idx val="1"/>
          <c:order val="2"/>
          <c:tx>
            <c:v>2015</c:v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2C9ADC"/>
              </a:solidFill>
              <a:ln>
                <a:noFill/>
              </a:ln>
              <a:effectLst/>
            </c:spPr>
          </c:dPt>
          <c:cat>
            <c:strRef>
              <c:f>'Graf 57 + 58 + 59'!$U$4:$U$31</c:f>
              <c:strCache>
                <c:ptCount val="28"/>
                <c:pt idx="0">
                  <c:v>BG</c:v>
                </c:pt>
                <c:pt idx="1">
                  <c:v>IT</c:v>
                </c:pt>
                <c:pt idx="2">
                  <c:v>LT</c:v>
                </c:pt>
                <c:pt idx="3">
                  <c:v>FR</c:v>
                </c:pt>
                <c:pt idx="4">
                  <c:v>LV</c:v>
                </c:pt>
                <c:pt idx="5">
                  <c:v>ES</c:v>
                </c:pt>
                <c:pt idx="6">
                  <c:v>DE</c:v>
                </c:pt>
                <c:pt idx="7">
                  <c:v>RO</c:v>
                </c:pt>
                <c:pt idx="8">
                  <c:v>NL</c:v>
                </c:pt>
                <c:pt idx="9">
                  <c:v>SK</c:v>
                </c:pt>
                <c:pt idx="10">
                  <c:v>PT</c:v>
                </c:pt>
                <c:pt idx="11">
                  <c:v>PL</c:v>
                </c:pt>
                <c:pt idx="12">
                  <c:v>LU</c:v>
                </c:pt>
                <c:pt idx="13">
                  <c:v>IE</c:v>
                </c:pt>
                <c:pt idx="14">
                  <c:v>MT</c:v>
                </c:pt>
                <c:pt idx="15">
                  <c:v>HU</c:v>
                </c:pt>
                <c:pt idx="16">
                  <c:v>DK</c:v>
                </c:pt>
                <c:pt idx="17">
                  <c:v>BE</c:v>
                </c:pt>
                <c:pt idx="18">
                  <c:v>SE</c:v>
                </c:pt>
                <c:pt idx="19">
                  <c:v>FI</c:v>
                </c:pt>
                <c:pt idx="20">
                  <c:v>EE</c:v>
                </c:pt>
                <c:pt idx="21">
                  <c:v>CY</c:v>
                </c:pt>
                <c:pt idx="22">
                  <c:v>EL</c:v>
                </c:pt>
                <c:pt idx="23">
                  <c:v>UK</c:v>
                </c:pt>
                <c:pt idx="24">
                  <c:v>AT</c:v>
                </c:pt>
                <c:pt idx="25">
                  <c:v>HR</c:v>
                </c:pt>
                <c:pt idx="26">
                  <c:v>CZ</c:v>
                </c:pt>
                <c:pt idx="27">
                  <c:v>SI</c:v>
                </c:pt>
              </c:strCache>
            </c:strRef>
          </c:cat>
          <c:val>
            <c:numRef>
              <c:f>'Graf 57 + 58 + 59'!$AA$4:$AA$31</c:f>
              <c:numCache>
                <c:formatCode>0.0000</c:formatCode>
                <c:ptCount val="28"/>
                <c:pt idx="0">
                  <c:v>4.1010859999999996</c:v>
                </c:pt>
                <c:pt idx="1">
                  <c:v>3.5275159999999999</c:v>
                </c:pt>
                <c:pt idx="2">
                  <c:v>3.0870860000000002</c:v>
                </c:pt>
                <c:pt idx="3">
                  <c:v>3.033512</c:v>
                </c:pt>
                <c:pt idx="4">
                  <c:v>2.926037</c:v>
                </c:pt>
                <c:pt idx="5">
                  <c:v>2.913481</c:v>
                </c:pt>
                <c:pt idx="6">
                  <c:v>2.8954339999999998</c:v>
                </c:pt>
                <c:pt idx="7">
                  <c:v>2.8427539999999998</c:v>
                </c:pt>
                <c:pt idx="8">
                  <c:v>2.7564299999999999</c:v>
                </c:pt>
                <c:pt idx="9">
                  <c:v>2.521172</c:v>
                </c:pt>
                <c:pt idx="10">
                  <c:v>2.430237</c:v>
                </c:pt>
                <c:pt idx="11">
                  <c:v>2.1319970000000001</c:v>
                </c:pt>
                <c:pt idx="12">
                  <c:v>2.001884</c:v>
                </c:pt>
                <c:pt idx="13">
                  <c:v>1.948275</c:v>
                </c:pt>
                <c:pt idx="14">
                  <c:v>1.9222379999999999</c:v>
                </c:pt>
                <c:pt idx="15">
                  <c:v>1.9059999999999999</c:v>
                </c:pt>
                <c:pt idx="16">
                  <c:v>1.5624629999999999</c:v>
                </c:pt>
                <c:pt idx="17">
                  <c:v>1.5391729999999999</c:v>
                </c:pt>
                <c:pt idx="18">
                  <c:v>1.385213</c:v>
                </c:pt>
                <c:pt idx="19">
                  <c:v>1.3405260000000001</c:v>
                </c:pt>
                <c:pt idx="20">
                  <c:v>1.2593639999999999</c:v>
                </c:pt>
                <c:pt idx="21">
                  <c:v>0.94910600000000001</c:v>
                </c:pt>
                <c:pt idx="22">
                  <c:v>0.76706200000000002</c:v>
                </c:pt>
                <c:pt idx="23">
                  <c:v>0.52774600000000005</c:v>
                </c:pt>
                <c:pt idx="24">
                  <c:v>0.48717500000000002</c:v>
                </c:pt>
                <c:pt idx="25">
                  <c:v>0.47335500000000003</c:v>
                </c:pt>
                <c:pt idx="26">
                  <c:v>-0.30553900000000001</c:v>
                </c:pt>
                <c:pt idx="27">
                  <c:v>-0.95874199999999998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3454936"/>
        <c:axId val="663455328"/>
      </c:barChart>
      <c:lineChart>
        <c:grouping val="standard"/>
        <c:varyColors val="0"/>
        <c:ser>
          <c:idx val="2"/>
          <c:order val="1"/>
          <c:tx>
            <c:v>EÚ 28</c:v>
          </c:tx>
          <c:spPr>
            <a:ln w="158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'Graf 57 + 58 + 59'!$AB$4:$AB$31</c:f>
              <c:numCache>
                <c:formatCode>0.00</c:formatCode>
                <c:ptCount val="28"/>
                <c:pt idx="0">
                  <c:v>1.8561443214285711</c:v>
                </c:pt>
                <c:pt idx="1">
                  <c:v>1.8561443214285711</c:v>
                </c:pt>
                <c:pt idx="2">
                  <c:v>1.8561443214285711</c:v>
                </c:pt>
                <c:pt idx="3">
                  <c:v>1.8561443214285711</c:v>
                </c:pt>
                <c:pt idx="4">
                  <c:v>1.8561443214285711</c:v>
                </c:pt>
                <c:pt idx="5">
                  <c:v>1.8561443214285711</c:v>
                </c:pt>
                <c:pt idx="6">
                  <c:v>1.8561443214285711</c:v>
                </c:pt>
                <c:pt idx="7">
                  <c:v>1.8561443214285711</c:v>
                </c:pt>
                <c:pt idx="8">
                  <c:v>1.8561443214285711</c:v>
                </c:pt>
                <c:pt idx="9">
                  <c:v>1.8561443214285711</c:v>
                </c:pt>
                <c:pt idx="10">
                  <c:v>1.8561443214285711</c:v>
                </c:pt>
                <c:pt idx="11">
                  <c:v>1.8561443214285711</c:v>
                </c:pt>
                <c:pt idx="12">
                  <c:v>1.8561443214285711</c:v>
                </c:pt>
                <c:pt idx="13">
                  <c:v>1.8561443214285711</c:v>
                </c:pt>
                <c:pt idx="14">
                  <c:v>1.8561443214285711</c:v>
                </c:pt>
                <c:pt idx="15">
                  <c:v>1.8561443214285711</c:v>
                </c:pt>
                <c:pt idx="16">
                  <c:v>1.8561443214285711</c:v>
                </c:pt>
                <c:pt idx="17">
                  <c:v>1.8561443214285711</c:v>
                </c:pt>
                <c:pt idx="18">
                  <c:v>1.8561443214285711</c:v>
                </c:pt>
                <c:pt idx="19">
                  <c:v>1.8561443214285711</c:v>
                </c:pt>
                <c:pt idx="20">
                  <c:v>1.8561443214285711</c:v>
                </c:pt>
                <c:pt idx="21">
                  <c:v>1.8561443214285711</c:v>
                </c:pt>
                <c:pt idx="22">
                  <c:v>1.8561443214285711</c:v>
                </c:pt>
                <c:pt idx="23">
                  <c:v>1.8561443214285711</c:v>
                </c:pt>
                <c:pt idx="24">
                  <c:v>1.8561443214285711</c:v>
                </c:pt>
                <c:pt idx="25">
                  <c:v>1.8561443214285711</c:v>
                </c:pt>
                <c:pt idx="26">
                  <c:v>1.8561443214285711</c:v>
                </c:pt>
                <c:pt idx="27">
                  <c:v>1.8561443214285711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54936"/>
        <c:axId val="663455328"/>
      </c:lineChart>
      <c:scatterChart>
        <c:scatterStyle val="lineMarker"/>
        <c:varyColors val="0"/>
        <c:ser>
          <c:idx val="0"/>
          <c:order val="0"/>
          <c:tx>
            <c:v>2014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ysClr val="window" lastClr="FFFFFF">
                  <a:lumMod val="50000"/>
                </a:sysClr>
              </a:solidFill>
              <a:ln w="9525">
                <a:noFill/>
              </a:ln>
              <a:effectLst/>
            </c:spPr>
          </c:marker>
          <c:dPt>
            <c:idx val="9"/>
            <c:marker>
              <c:spPr>
                <a:solidFill>
                  <a:srgbClr val="2C9ADC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strRef>
              <c:f>'Graf 57 + 58 + 59'!$U$4:$U$31</c:f>
              <c:strCache>
                <c:ptCount val="28"/>
                <c:pt idx="0">
                  <c:v>BG</c:v>
                </c:pt>
                <c:pt idx="1">
                  <c:v>IT</c:v>
                </c:pt>
                <c:pt idx="2">
                  <c:v>LT</c:v>
                </c:pt>
                <c:pt idx="3">
                  <c:v>FR</c:v>
                </c:pt>
                <c:pt idx="4">
                  <c:v>LV</c:v>
                </c:pt>
                <c:pt idx="5">
                  <c:v>ES</c:v>
                </c:pt>
                <c:pt idx="6">
                  <c:v>DE</c:v>
                </c:pt>
                <c:pt idx="7">
                  <c:v>RO</c:v>
                </c:pt>
                <c:pt idx="8">
                  <c:v>NL</c:v>
                </c:pt>
                <c:pt idx="9">
                  <c:v>SK</c:v>
                </c:pt>
                <c:pt idx="10">
                  <c:v>PT</c:v>
                </c:pt>
                <c:pt idx="11">
                  <c:v>PL</c:v>
                </c:pt>
                <c:pt idx="12">
                  <c:v>LU</c:v>
                </c:pt>
                <c:pt idx="13">
                  <c:v>IE</c:v>
                </c:pt>
                <c:pt idx="14">
                  <c:v>MT</c:v>
                </c:pt>
                <c:pt idx="15">
                  <c:v>HU</c:v>
                </c:pt>
                <c:pt idx="16">
                  <c:v>DK</c:v>
                </c:pt>
                <c:pt idx="17">
                  <c:v>BE</c:v>
                </c:pt>
                <c:pt idx="18">
                  <c:v>SE</c:v>
                </c:pt>
                <c:pt idx="19">
                  <c:v>FI</c:v>
                </c:pt>
                <c:pt idx="20">
                  <c:v>EE</c:v>
                </c:pt>
                <c:pt idx="21">
                  <c:v>CY</c:v>
                </c:pt>
                <c:pt idx="22">
                  <c:v>EL</c:v>
                </c:pt>
                <c:pt idx="23">
                  <c:v>UK</c:v>
                </c:pt>
                <c:pt idx="24">
                  <c:v>AT</c:v>
                </c:pt>
                <c:pt idx="25">
                  <c:v>HR</c:v>
                </c:pt>
                <c:pt idx="26">
                  <c:v>CZ</c:v>
                </c:pt>
                <c:pt idx="27">
                  <c:v>SI</c:v>
                </c:pt>
              </c:strCache>
            </c:strRef>
          </c:xVal>
          <c:yVal>
            <c:numRef>
              <c:f>'Graf 57 + 58 + 59'!$Z$4:$Z$31</c:f>
              <c:numCache>
                <c:formatCode>0.0000</c:formatCode>
                <c:ptCount val="28"/>
                <c:pt idx="0">
                  <c:v>3.8686319999999998</c:v>
                </c:pt>
                <c:pt idx="1">
                  <c:v>3.4966599999999999</c:v>
                </c:pt>
                <c:pt idx="2">
                  <c:v>0.53213500000000002</c:v>
                </c:pt>
                <c:pt idx="3">
                  <c:v>2.9001929999999998</c:v>
                </c:pt>
                <c:pt idx="4">
                  <c:v>2.9260389999999998</c:v>
                </c:pt>
                <c:pt idx="5">
                  <c:v>2.8690310000000001</c:v>
                </c:pt>
                <c:pt idx="6">
                  <c:v>2.895432</c:v>
                </c:pt>
                <c:pt idx="7">
                  <c:v>2.8427530000000001</c:v>
                </c:pt>
                <c:pt idx="8">
                  <c:v>2.8209569999999999</c:v>
                </c:pt>
                <c:pt idx="9">
                  <c:v>2.5211709999999998</c:v>
                </c:pt>
                <c:pt idx="10">
                  <c:v>1.494272</c:v>
                </c:pt>
                <c:pt idx="11">
                  <c:v>1.5230520000000001</c:v>
                </c:pt>
                <c:pt idx="12">
                  <c:v>1.8186880000000001</c:v>
                </c:pt>
                <c:pt idx="13">
                  <c:v>2.078004</c:v>
                </c:pt>
                <c:pt idx="14">
                  <c:v>1.922237</c:v>
                </c:pt>
                <c:pt idx="15">
                  <c:v>1.820238</c:v>
                </c:pt>
                <c:pt idx="16">
                  <c:v>1.5624629999999999</c:v>
                </c:pt>
                <c:pt idx="17">
                  <c:v>1.5391729999999999</c:v>
                </c:pt>
                <c:pt idx="18">
                  <c:v>1.385213</c:v>
                </c:pt>
                <c:pt idx="19">
                  <c:v>1.3405260000000001</c:v>
                </c:pt>
                <c:pt idx="20">
                  <c:v>1.2593639999999999</c:v>
                </c:pt>
                <c:pt idx="21">
                  <c:v>0.94910700000000003</c:v>
                </c:pt>
                <c:pt idx="22">
                  <c:v>0.76706200000000002</c:v>
                </c:pt>
                <c:pt idx="23">
                  <c:v>1.1684140000000001</c:v>
                </c:pt>
                <c:pt idx="24">
                  <c:v>0.51413399999999998</c:v>
                </c:pt>
                <c:pt idx="25">
                  <c:v>1.5501560000000001</c:v>
                </c:pt>
                <c:pt idx="26">
                  <c:v>-0.30553900000000001</c:v>
                </c:pt>
                <c:pt idx="27">
                  <c:v>-0.95874199999999998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454936"/>
        <c:axId val="663455328"/>
      </c:scatterChart>
      <c:catAx>
        <c:axId val="66345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55328"/>
        <c:crosses val="autoZero"/>
        <c:auto val="1"/>
        <c:lblAlgn val="ctr"/>
        <c:lblOffset val="100"/>
        <c:tickLblSkip val="1"/>
        <c:noMultiLvlLbl val="0"/>
      </c:catAx>
      <c:valAx>
        <c:axId val="663455328"/>
        <c:scaling>
          <c:orientation val="minMax"/>
          <c:max val="4.5"/>
          <c:min val="-1.5"/>
        </c:scaling>
        <c:delete val="0"/>
        <c:axPos val="l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ysDot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549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12494328039507"/>
          <c:y val="6.6666666666666693E-2"/>
          <c:w val="0.76981751857289116"/>
          <c:h val="7.6766000403795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088820419186736E-2"/>
          <c:y val="7.7753533820320839E-2"/>
          <c:w val="0.89906235218830843"/>
          <c:h val="0.8124140789116423"/>
        </c:manualLayout>
      </c:layout>
      <c:barChart>
        <c:barDir val="col"/>
        <c:grouping val="clustered"/>
        <c:varyColors val="0"/>
        <c:ser>
          <c:idx val="1"/>
          <c:order val="2"/>
          <c:tx>
            <c:v>2015</c:v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2C9ADC"/>
              </a:solidFill>
              <a:ln>
                <a:noFill/>
              </a:ln>
              <a:effectLst/>
            </c:spPr>
          </c:dPt>
          <c:cat>
            <c:strRef>
              <c:f>'Graf 57 + 58 + 59'!$L$4:$L$31</c:f>
              <c:strCache>
                <c:ptCount val="28"/>
                <c:pt idx="0">
                  <c:v>RO</c:v>
                </c:pt>
                <c:pt idx="1">
                  <c:v>LV</c:v>
                </c:pt>
                <c:pt idx="2">
                  <c:v>NL</c:v>
                </c:pt>
                <c:pt idx="3">
                  <c:v>ES</c:v>
                </c:pt>
                <c:pt idx="4">
                  <c:v>FR</c:v>
                </c:pt>
                <c:pt idx="5">
                  <c:v>UK</c:v>
                </c:pt>
                <c:pt idx="6">
                  <c:v>SE</c:v>
                </c:pt>
                <c:pt idx="7">
                  <c:v>IT</c:v>
                </c:pt>
                <c:pt idx="8">
                  <c:v>BG</c:v>
                </c:pt>
                <c:pt idx="9">
                  <c:v>MT</c:v>
                </c:pt>
                <c:pt idx="10">
                  <c:v>EE</c:v>
                </c:pt>
                <c:pt idx="11">
                  <c:v>EL</c:v>
                </c:pt>
                <c:pt idx="12">
                  <c:v>BE</c:v>
                </c:pt>
                <c:pt idx="13">
                  <c:v>CY</c:v>
                </c:pt>
                <c:pt idx="14">
                  <c:v>LT</c:v>
                </c:pt>
                <c:pt idx="15">
                  <c:v>HR</c:v>
                </c:pt>
                <c:pt idx="16">
                  <c:v>PT</c:v>
                </c:pt>
                <c:pt idx="17">
                  <c:v>DE</c:v>
                </c:pt>
                <c:pt idx="18">
                  <c:v>DK</c:v>
                </c:pt>
                <c:pt idx="19">
                  <c:v>LU</c:v>
                </c:pt>
                <c:pt idx="20">
                  <c:v>FI</c:v>
                </c:pt>
                <c:pt idx="21">
                  <c:v>IE</c:v>
                </c:pt>
                <c:pt idx="22">
                  <c:v>SK</c:v>
                </c:pt>
                <c:pt idx="23">
                  <c:v>SI</c:v>
                </c:pt>
                <c:pt idx="24">
                  <c:v>AT</c:v>
                </c:pt>
                <c:pt idx="25">
                  <c:v>PL</c:v>
                </c:pt>
                <c:pt idx="26">
                  <c:v>CZ</c:v>
                </c:pt>
                <c:pt idx="27">
                  <c:v>HU</c:v>
                </c:pt>
              </c:strCache>
            </c:strRef>
          </c:cat>
          <c:val>
            <c:numRef>
              <c:f>'Graf 57 + 58 + 59'!$R$4:$R$31</c:f>
              <c:numCache>
                <c:formatCode>0.0000</c:formatCode>
                <c:ptCount val="28"/>
                <c:pt idx="0">
                  <c:v>0.96</c:v>
                </c:pt>
                <c:pt idx="1">
                  <c:v>0.95000000000000018</c:v>
                </c:pt>
                <c:pt idx="2">
                  <c:v>0.95000000000000007</c:v>
                </c:pt>
                <c:pt idx="3">
                  <c:v>0.84000000000000008</c:v>
                </c:pt>
                <c:pt idx="4">
                  <c:v>0.82000000000000006</c:v>
                </c:pt>
                <c:pt idx="5">
                  <c:v>0.81</c:v>
                </c:pt>
                <c:pt idx="6">
                  <c:v>0.8</c:v>
                </c:pt>
                <c:pt idx="7">
                  <c:v>0.79</c:v>
                </c:pt>
                <c:pt idx="8">
                  <c:v>0.75333333333333341</c:v>
                </c:pt>
                <c:pt idx="9">
                  <c:v>0.72333333333333338</c:v>
                </c:pt>
                <c:pt idx="10">
                  <c:v>0.72</c:v>
                </c:pt>
                <c:pt idx="11">
                  <c:v>0.71000000000000008</c:v>
                </c:pt>
                <c:pt idx="12">
                  <c:v>0.70333333333333337</c:v>
                </c:pt>
                <c:pt idx="13">
                  <c:v>0.7</c:v>
                </c:pt>
                <c:pt idx="14">
                  <c:v>0.69000000000000006</c:v>
                </c:pt>
                <c:pt idx="15">
                  <c:v>0.64</c:v>
                </c:pt>
                <c:pt idx="16">
                  <c:v>0.64</c:v>
                </c:pt>
                <c:pt idx="17">
                  <c:v>0.6333333333333333</c:v>
                </c:pt>
                <c:pt idx="18">
                  <c:v>0.6166666666666667</c:v>
                </c:pt>
                <c:pt idx="19">
                  <c:v>0.59000000000000008</c:v>
                </c:pt>
                <c:pt idx="20">
                  <c:v>0.57333333333333336</c:v>
                </c:pt>
                <c:pt idx="21">
                  <c:v>0.57333333333333336</c:v>
                </c:pt>
                <c:pt idx="22">
                  <c:v>0.55000000000000004</c:v>
                </c:pt>
                <c:pt idx="23">
                  <c:v>0.53333333333333344</c:v>
                </c:pt>
                <c:pt idx="24">
                  <c:v>0.52</c:v>
                </c:pt>
                <c:pt idx="25">
                  <c:v>0.43333333333333335</c:v>
                </c:pt>
                <c:pt idx="26">
                  <c:v>0.43000000000000005</c:v>
                </c:pt>
                <c:pt idx="27">
                  <c:v>0.37333333333333335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3456112"/>
        <c:axId val="656612848"/>
      </c:barChart>
      <c:lineChart>
        <c:grouping val="standard"/>
        <c:varyColors val="0"/>
        <c:ser>
          <c:idx val="2"/>
          <c:order val="1"/>
          <c:tx>
            <c:v>EÚ28</c:v>
          </c:tx>
          <c:spPr>
            <a:ln w="158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'Graf 57 + 58 + 59'!$S$4:$S$31</c:f>
              <c:numCache>
                <c:formatCode>0.00</c:formatCode>
                <c:ptCount val="28"/>
                <c:pt idx="0">
                  <c:v>0.67952380952380964</c:v>
                </c:pt>
                <c:pt idx="1">
                  <c:v>0.67952380952380964</c:v>
                </c:pt>
                <c:pt idx="2">
                  <c:v>0.67952380952380964</c:v>
                </c:pt>
                <c:pt idx="3">
                  <c:v>0.67952380952380964</c:v>
                </c:pt>
                <c:pt idx="4">
                  <c:v>0.67952380952380964</c:v>
                </c:pt>
                <c:pt idx="5">
                  <c:v>0.67952380952380964</c:v>
                </c:pt>
                <c:pt idx="6">
                  <c:v>0.67952380952380964</c:v>
                </c:pt>
                <c:pt idx="7">
                  <c:v>0.67952380952380964</c:v>
                </c:pt>
                <c:pt idx="8">
                  <c:v>0.67952380952380964</c:v>
                </c:pt>
                <c:pt idx="9">
                  <c:v>0.67952380952380964</c:v>
                </c:pt>
                <c:pt idx="10">
                  <c:v>0.67952380952380964</c:v>
                </c:pt>
                <c:pt idx="11">
                  <c:v>0.67952380952380964</c:v>
                </c:pt>
                <c:pt idx="12">
                  <c:v>0.67952380952380964</c:v>
                </c:pt>
                <c:pt idx="13">
                  <c:v>0.67952380952380964</c:v>
                </c:pt>
                <c:pt idx="14">
                  <c:v>0.67952380952380964</c:v>
                </c:pt>
                <c:pt idx="15">
                  <c:v>0.67952380952380964</c:v>
                </c:pt>
                <c:pt idx="16">
                  <c:v>0.67952380952380964</c:v>
                </c:pt>
                <c:pt idx="17">
                  <c:v>0.67952380952380964</c:v>
                </c:pt>
                <c:pt idx="18">
                  <c:v>0.67952380952380964</c:v>
                </c:pt>
                <c:pt idx="19">
                  <c:v>0.67952380952380964</c:v>
                </c:pt>
                <c:pt idx="20">
                  <c:v>0.67952380952380964</c:v>
                </c:pt>
                <c:pt idx="21">
                  <c:v>0.67952380952380964</c:v>
                </c:pt>
                <c:pt idx="22">
                  <c:v>0.67952380952380964</c:v>
                </c:pt>
                <c:pt idx="23">
                  <c:v>0.67952380952380964</c:v>
                </c:pt>
                <c:pt idx="24">
                  <c:v>0.67952380952380964</c:v>
                </c:pt>
                <c:pt idx="25">
                  <c:v>0.67952380952380964</c:v>
                </c:pt>
                <c:pt idx="26">
                  <c:v>0.67952380952380964</c:v>
                </c:pt>
                <c:pt idx="27">
                  <c:v>0.67952380952380964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56112"/>
        <c:axId val="656612848"/>
      </c:lineChart>
      <c:scatterChart>
        <c:scatterStyle val="lineMarker"/>
        <c:varyColors val="0"/>
        <c:ser>
          <c:idx val="0"/>
          <c:order val="0"/>
          <c:tx>
            <c:v>2014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ysClr val="window" lastClr="FFFFFF">
                  <a:lumMod val="50000"/>
                </a:sysClr>
              </a:solidFill>
              <a:ln w="9525">
                <a:noFill/>
              </a:ln>
              <a:effectLst/>
            </c:spPr>
          </c:marker>
          <c:dPt>
            <c:idx val="22"/>
            <c:marker>
              <c:spPr>
                <a:solidFill>
                  <a:srgbClr val="2C9ADC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strRef>
              <c:f>'Graf 57 + 58 + 59'!$L$4:$L$31</c:f>
              <c:strCache>
                <c:ptCount val="28"/>
                <c:pt idx="0">
                  <c:v>RO</c:v>
                </c:pt>
                <c:pt idx="1">
                  <c:v>LV</c:v>
                </c:pt>
                <c:pt idx="2">
                  <c:v>NL</c:v>
                </c:pt>
                <c:pt idx="3">
                  <c:v>ES</c:v>
                </c:pt>
                <c:pt idx="4">
                  <c:v>FR</c:v>
                </c:pt>
                <c:pt idx="5">
                  <c:v>UK</c:v>
                </c:pt>
                <c:pt idx="6">
                  <c:v>SE</c:v>
                </c:pt>
                <c:pt idx="7">
                  <c:v>IT</c:v>
                </c:pt>
                <c:pt idx="8">
                  <c:v>BG</c:v>
                </c:pt>
                <c:pt idx="9">
                  <c:v>MT</c:v>
                </c:pt>
                <c:pt idx="10">
                  <c:v>EE</c:v>
                </c:pt>
                <c:pt idx="11">
                  <c:v>EL</c:v>
                </c:pt>
                <c:pt idx="12">
                  <c:v>BE</c:v>
                </c:pt>
                <c:pt idx="13">
                  <c:v>CY</c:v>
                </c:pt>
                <c:pt idx="14">
                  <c:v>LT</c:v>
                </c:pt>
                <c:pt idx="15">
                  <c:v>HR</c:v>
                </c:pt>
                <c:pt idx="16">
                  <c:v>PT</c:v>
                </c:pt>
                <c:pt idx="17">
                  <c:v>DE</c:v>
                </c:pt>
                <c:pt idx="18">
                  <c:v>DK</c:v>
                </c:pt>
                <c:pt idx="19">
                  <c:v>LU</c:v>
                </c:pt>
                <c:pt idx="20">
                  <c:v>FI</c:v>
                </c:pt>
                <c:pt idx="21">
                  <c:v>IE</c:v>
                </c:pt>
                <c:pt idx="22">
                  <c:v>SK</c:v>
                </c:pt>
                <c:pt idx="23">
                  <c:v>SI</c:v>
                </c:pt>
                <c:pt idx="24">
                  <c:v>AT</c:v>
                </c:pt>
                <c:pt idx="25">
                  <c:v>PL</c:v>
                </c:pt>
                <c:pt idx="26">
                  <c:v>CZ</c:v>
                </c:pt>
                <c:pt idx="27">
                  <c:v>HU</c:v>
                </c:pt>
              </c:strCache>
            </c:strRef>
          </c:xVal>
          <c:yVal>
            <c:numRef>
              <c:f>'Graf 57 + 58 + 59'!$Q$4:$Q$31</c:f>
              <c:numCache>
                <c:formatCode>0.0000</c:formatCode>
                <c:ptCount val="28"/>
                <c:pt idx="0">
                  <c:v>0.95985768516560299</c:v>
                </c:pt>
                <c:pt idx="1">
                  <c:v>0.94875518730718167</c:v>
                </c:pt>
                <c:pt idx="2">
                  <c:v>0.94999999864720031</c:v>
                </c:pt>
                <c:pt idx="3">
                  <c:v>0.84089869956842977</c:v>
                </c:pt>
                <c:pt idx="4">
                  <c:v>0.81999999883232022</c:v>
                </c:pt>
                <c:pt idx="5">
                  <c:v>0.69285277541809553</c:v>
                </c:pt>
                <c:pt idx="6">
                  <c:v>0.79988140430466925</c:v>
                </c:pt>
                <c:pt idx="7">
                  <c:v>0.78978381762005712</c:v>
                </c:pt>
                <c:pt idx="8">
                  <c:v>0.75356927396325124</c:v>
                </c:pt>
                <c:pt idx="9">
                  <c:v>0.72460139513213573</c:v>
                </c:pt>
                <c:pt idx="10">
                  <c:v>0.71980297302081142</c:v>
                </c:pt>
                <c:pt idx="11">
                  <c:v>0.70999999898896027</c:v>
                </c:pt>
                <c:pt idx="12">
                  <c:v>0.7035536141869293</c:v>
                </c:pt>
                <c:pt idx="13">
                  <c:v>0.55999999920256005</c:v>
                </c:pt>
                <c:pt idx="14">
                  <c:v>0.69073821750263875</c:v>
                </c:pt>
                <c:pt idx="15">
                  <c:v>0.63872271799126179</c:v>
                </c:pt>
                <c:pt idx="16">
                  <c:v>0.63967795202959599</c:v>
                </c:pt>
                <c:pt idx="17">
                  <c:v>0.63547750257836311</c:v>
                </c:pt>
                <c:pt idx="18">
                  <c:v>0.61696702375694612</c:v>
                </c:pt>
                <c:pt idx="19">
                  <c:v>0.58983854733649832</c:v>
                </c:pt>
                <c:pt idx="20">
                  <c:v>0.50254612888196504</c:v>
                </c:pt>
                <c:pt idx="21">
                  <c:v>0.57341526454151992</c:v>
                </c:pt>
                <c:pt idx="22">
                  <c:v>0.55055922818330338</c:v>
                </c:pt>
                <c:pt idx="23">
                  <c:v>0.53438521091772762</c:v>
                </c:pt>
                <c:pt idx="24">
                  <c:v>0.51995047076199241</c:v>
                </c:pt>
                <c:pt idx="25">
                  <c:v>0.4323863101189187</c:v>
                </c:pt>
                <c:pt idx="26">
                  <c:v>0.42978350645776409</c:v>
                </c:pt>
                <c:pt idx="27">
                  <c:v>0.46523774602720896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456112"/>
        <c:axId val="656612848"/>
      </c:scatterChart>
      <c:catAx>
        <c:axId val="66345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6612848"/>
        <c:crosses val="autoZero"/>
        <c:auto val="1"/>
        <c:lblAlgn val="ctr"/>
        <c:lblOffset val="100"/>
        <c:tickLblSkip val="1"/>
        <c:noMultiLvlLbl val="0"/>
      </c:catAx>
      <c:valAx>
        <c:axId val="656612848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561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646925996654874"/>
          <c:y val="7.7365310252249089E-2"/>
          <c:w val="0.72164068442105"/>
          <c:h val="9.4564965593927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83465332697746"/>
          <c:y val="7.6488980206485549E-2"/>
          <c:w val="0.76233069334604509"/>
          <c:h val="0.77930936343800405"/>
        </c:manualLayout>
      </c:layout>
      <c:lineChart>
        <c:grouping val="standard"/>
        <c:varyColors val="0"/>
        <c:ser>
          <c:idx val="0"/>
          <c:order val="0"/>
          <c:tx>
            <c:v>Brent oil price (USD/bl) (lhs)</c:v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3+4'!$H$3:$H$418</c:f>
              <c:numCache>
                <c:formatCode>m/d/yyyy</c:formatCode>
                <c:ptCount val="416"/>
                <c:pt idx="0">
                  <c:v>42825</c:v>
                </c:pt>
                <c:pt idx="1">
                  <c:v>42824</c:v>
                </c:pt>
                <c:pt idx="2">
                  <c:v>42823</c:v>
                </c:pt>
                <c:pt idx="3">
                  <c:v>42822</c:v>
                </c:pt>
                <c:pt idx="4">
                  <c:v>42821</c:v>
                </c:pt>
                <c:pt idx="5">
                  <c:v>42818</c:v>
                </c:pt>
                <c:pt idx="6">
                  <c:v>42817</c:v>
                </c:pt>
                <c:pt idx="7">
                  <c:v>42816</c:v>
                </c:pt>
                <c:pt idx="8">
                  <c:v>42815</c:v>
                </c:pt>
                <c:pt idx="9">
                  <c:v>42814</c:v>
                </c:pt>
                <c:pt idx="10">
                  <c:v>42811</c:v>
                </c:pt>
                <c:pt idx="11">
                  <c:v>42810</c:v>
                </c:pt>
                <c:pt idx="12">
                  <c:v>42809</c:v>
                </c:pt>
                <c:pt idx="13">
                  <c:v>42808</c:v>
                </c:pt>
                <c:pt idx="14">
                  <c:v>42807</c:v>
                </c:pt>
                <c:pt idx="15">
                  <c:v>42804</c:v>
                </c:pt>
                <c:pt idx="16">
                  <c:v>42803</c:v>
                </c:pt>
                <c:pt idx="17">
                  <c:v>42802</c:v>
                </c:pt>
                <c:pt idx="18">
                  <c:v>42801</c:v>
                </c:pt>
                <c:pt idx="19">
                  <c:v>42800</c:v>
                </c:pt>
                <c:pt idx="20">
                  <c:v>42797</c:v>
                </c:pt>
                <c:pt idx="21">
                  <c:v>42796</c:v>
                </c:pt>
                <c:pt idx="22">
                  <c:v>42795</c:v>
                </c:pt>
                <c:pt idx="23">
                  <c:v>42794</c:v>
                </c:pt>
                <c:pt idx="24">
                  <c:v>42793</c:v>
                </c:pt>
                <c:pt idx="25">
                  <c:v>42790</c:v>
                </c:pt>
                <c:pt idx="26">
                  <c:v>42789</c:v>
                </c:pt>
                <c:pt idx="27">
                  <c:v>42788</c:v>
                </c:pt>
                <c:pt idx="28">
                  <c:v>42787</c:v>
                </c:pt>
                <c:pt idx="29">
                  <c:v>42783</c:v>
                </c:pt>
                <c:pt idx="30">
                  <c:v>42782</c:v>
                </c:pt>
                <c:pt idx="31">
                  <c:v>42781</c:v>
                </c:pt>
                <c:pt idx="32">
                  <c:v>42780</c:v>
                </c:pt>
                <c:pt idx="33">
                  <c:v>42779</c:v>
                </c:pt>
                <c:pt idx="34">
                  <c:v>42776</c:v>
                </c:pt>
                <c:pt idx="35">
                  <c:v>42775</c:v>
                </c:pt>
                <c:pt idx="36">
                  <c:v>42774</c:v>
                </c:pt>
                <c:pt idx="37">
                  <c:v>42773</c:v>
                </c:pt>
                <c:pt idx="38">
                  <c:v>42772</c:v>
                </c:pt>
                <c:pt idx="39">
                  <c:v>42769</c:v>
                </c:pt>
                <c:pt idx="40">
                  <c:v>42768</c:v>
                </c:pt>
                <c:pt idx="41">
                  <c:v>42767</c:v>
                </c:pt>
                <c:pt idx="42">
                  <c:v>42766</c:v>
                </c:pt>
                <c:pt idx="43">
                  <c:v>42765</c:v>
                </c:pt>
                <c:pt idx="44">
                  <c:v>42762</c:v>
                </c:pt>
                <c:pt idx="45">
                  <c:v>42761</c:v>
                </c:pt>
                <c:pt idx="46">
                  <c:v>42760</c:v>
                </c:pt>
                <c:pt idx="47">
                  <c:v>42759</c:v>
                </c:pt>
                <c:pt idx="48">
                  <c:v>42758</c:v>
                </c:pt>
                <c:pt idx="49">
                  <c:v>42755</c:v>
                </c:pt>
                <c:pt idx="50">
                  <c:v>42754</c:v>
                </c:pt>
                <c:pt idx="51">
                  <c:v>42753</c:v>
                </c:pt>
                <c:pt idx="52">
                  <c:v>42752</c:v>
                </c:pt>
                <c:pt idx="53">
                  <c:v>42748</c:v>
                </c:pt>
                <c:pt idx="54">
                  <c:v>42747</c:v>
                </c:pt>
                <c:pt idx="55">
                  <c:v>42746</c:v>
                </c:pt>
                <c:pt idx="56">
                  <c:v>42745</c:v>
                </c:pt>
                <c:pt idx="57">
                  <c:v>42744</c:v>
                </c:pt>
                <c:pt idx="58">
                  <c:v>42741</c:v>
                </c:pt>
                <c:pt idx="59">
                  <c:v>42740</c:v>
                </c:pt>
                <c:pt idx="60">
                  <c:v>42739</c:v>
                </c:pt>
                <c:pt idx="61">
                  <c:v>42738</c:v>
                </c:pt>
                <c:pt idx="62">
                  <c:v>42734</c:v>
                </c:pt>
                <c:pt idx="63">
                  <c:v>42733</c:v>
                </c:pt>
                <c:pt idx="64">
                  <c:v>42732</c:v>
                </c:pt>
                <c:pt idx="65">
                  <c:v>42731</c:v>
                </c:pt>
                <c:pt idx="66">
                  <c:v>42727</c:v>
                </c:pt>
                <c:pt idx="67">
                  <c:v>42726</c:v>
                </c:pt>
                <c:pt idx="68">
                  <c:v>42725</c:v>
                </c:pt>
                <c:pt idx="69">
                  <c:v>42724</c:v>
                </c:pt>
                <c:pt idx="70">
                  <c:v>42723</c:v>
                </c:pt>
                <c:pt idx="71">
                  <c:v>42720</c:v>
                </c:pt>
                <c:pt idx="72">
                  <c:v>42719</c:v>
                </c:pt>
                <c:pt idx="73">
                  <c:v>42718</c:v>
                </c:pt>
                <c:pt idx="74">
                  <c:v>42717</c:v>
                </c:pt>
                <c:pt idx="75">
                  <c:v>42716</c:v>
                </c:pt>
                <c:pt idx="76">
                  <c:v>42713</c:v>
                </c:pt>
                <c:pt idx="77">
                  <c:v>42712</c:v>
                </c:pt>
                <c:pt idx="78">
                  <c:v>42711</c:v>
                </c:pt>
                <c:pt idx="79">
                  <c:v>42710</c:v>
                </c:pt>
                <c:pt idx="80">
                  <c:v>42709</c:v>
                </c:pt>
                <c:pt idx="81">
                  <c:v>42706</c:v>
                </c:pt>
                <c:pt idx="82">
                  <c:v>42705</c:v>
                </c:pt>
                <c:pt idx="83">
                  <c:v>42704</c:v>
                </c:pt>
                <c:pt idx="84">
                  <c:v>42703</c:v>
                </c:pt>
                <c:pt idx="85">
                  <c:v>42702</c:v>
                </c:pt>
                <c:pt idx="86">
                  <c:v>42699</c:v>
                </c:pt>
                <c:pt idx="87">
                  <c:v>42697</c:v>
                </c:pt>
                <c:pt idx="88">
                  <c:v>42696</c:v>
                </c:pt>
                <c:pt idx="89">
                  <c:v>42695</c:v>
                </c:pt>
                <c:pt idx="90">
                  <c:v>42692</c:v>
                </c:pt>
                <c:pt idx="91">
                  <c:v>42691</c:v>
                </c:pt>
                <c:pt idx="92">
                  <c:v>42690</c:v>
                </c:pt>
                <c:pt idx="93">
                  <c:v>42689</c:v>
                </c:pt>
                <c:pt idx="94">
                  <c:v>42688</c:v>
                </c:pt>
                <c:pt idx="95">
                  <c:v>42685</c:v>
                </c:pt>
                <c:pt idx="96">
                  <c:v>42684</c:v>
                </c:pt>
                <c:pt idx="97">
                  <c:v>42683</c:v>
                </c:pt>
                <c:pt idx="98">
                  <c:v>42682</c:v>
                </c:pt>
                <c:pt idx="99">
                  <c:v>42681</c:v>
                </c:pt>
                <c:pt idx="100">
                  <c:v>42678</c:v>
                </c:pt>
                <c:pt idx="101">
                  <c:v>42677</c:v>
                </c:pt>
                <c:pt idx="102">
                  <c:v>42676</c:v>
                </c:pt>
                <c:pt idx="103">
                  <c:v>42675</c:v>
                </c:pt>
                <c:pt idx="104">
                  <c:v>42674</c:v>
                </c:pt>
                <c:pt idx="105">
                  <c:v>42671</c:v>
                </c:pt>
                <c:pt idx="106">
                  <c:v>42670</c:v>
                </c:pt>
                <c:pt idx="107">
                  <c:v>42669</c:v>
                </c:pt>
                <c:pt idx="108">
                  <c:v>42668</c:v>
                </c:pt>
                <c:pt idx="109">
                  <c:v>42667</c:v>
                </c:pt>
                <c:pt idx="110">
                  <c:v>42664</c:v>
                </c:pt>
                <c:pt idx="111">
                  <c:v>42663</c:v>
                </c:pt>
                <c:pt idx="112">
                  <c:v>42662</c:v>
                </c:pt>
                <c:pt idx="113">
                  <c:v>42661</c:v>
                </c:pt>
                <c:pt idx="114">
                  <c:v>42660</c:v>
                </c:pt>
                <c:pt idx="115">
                  <c:v>42657</c:v>
                </c:pt>
                <c:pt idx="116">
                  <c:v>42656</c:v>
                </c:pt>
                <c:pt idx="117">
                  <c:v>42655</c:v>
                </c:pt>
                <c:pt idx="118">
                  <c:v>42654</c:v>
                </c:pt>
                <c:pt idx="119">
                  <c:v>42653</c:v>
                </c:pt>
                <c:pt idx="120">
                  <c:v>42650</c:v>
                </c:pt>
                <c:pt idx="121">
                  <c:v>42649</c:v>
                </c:pt>
                <c:pt idx="122">
                  <c:v>42648</c:v>
                </c:pt>
                <c:pt idx="123">
                  <c:v>42647</c:v>
                </c:pt>
                <c:pt idx="124">
                  <c:v>42646</c:v>
                </c:pt>
                <c:pt idx="125">
                  <c:v>42643</c:v>
                </c:pt>
                <c:pt idx="126">
                  <c:v>42642</c:v>
                </c:pt>
                <c:pt idx="127">
                  <c:v>42641</c:v>
                </c:pt>
                <c:pt idx="128">
                  <c:v>42640</c:v>
                </c:pt>
                <c:pt idx="129">
                  <c:v>42639</c:v>
                </c:pt>
                <c:pt idx="130">
                  <c:v>42636</c:v>
                </c:pt>
                <c:pt idx="131">
                  <c:v>42635</c:v>
                </c:pt>
                <c:pt idx="132">
                  <c:v>42634</c:v>
                </c:pt>
                <c:pt idx="133">
                  <c:v>42633</c:v>
                </c:pt>
                <c:pt idx="134">
                  <c:v>42632</c:v>
                </c:pt>
                <c:pt idx="135">
                  <c:v>42629</c:v>
                </c:pt>
                <c:pt idx="136">
                  <c:v>42628</c:v>
                </c:pt>
                <c:pt idx="137">
                  <c:v>42627</c:v>
                </c:pt>
                <c:pt idx="138">
                  <c:v>42626</c:v>
                </c:pt>
                <c:pt idx="139">
                  <c:v>42625</c:v>
                </c:pt>
                <c:pt idx="140">
                  <c:v>42622</c:v>
                </c:pt>
                <c:pt idx="141">
                  <c:v>42621</c:v>
                </c:pt>
                <c:pt idx="142">
                  <c:v>42620</c:v>
                </c:pt>
                <c:pt idx="143">
                  <c:v>42619</c:v>
                </c:pt>
                <c:pt idx="144">
                  <c:v>42615</c:v>
                </c:pt>
                <c:pt idx="145">
                  <c:v>42614</c:v>
                </c:pt>
                <c:pt idx="146">
                  <c:v>42613</c:v>
                </c:pt>
                <c:pt idx="147">
                  <c:v>42612</c:v>
                </c:pt>
                <c:pt idx="148">
                  <c:v>42611</c:v>
                </c:pt>
                <c:pt idx="149">
                  <c:v>42608</c:v>
                </c:pt>
                <c:pt idx="150">
                  <c:v>42607</c:v>
                </c:pt>
                <c:pt idx="151">
                  <c:v>42606</c:v>
                </c:pt>
                <c:pt idx="152">
                  <c:v>42605</c:v>
                </c:pt>
                <c:pt idx="153">
                  <c:v>42604</c:v>
                </c:pt>
                <c:pt idx="154">
                  <c:v>42601</c:v>
                </c:pt>
                <c:pt idx="155">
                  <c:v>42600</c:v>
                </c:pt>
                <c:pt idx="156">
                  <c:v>42599</c:v>
                </c:pt>
                <c:pt idx="157">
                  <c:v>42598</c:v>
                </c:pt>
                <c:pt idx="158">
                  <c:v>42597</c:v>
                </c:pt>
                <c:pt idx="159">
                  <c:v>42594</c:v>
                </c:pt>
                <c:pt idx="160">
                  <c:v>42593</c:v>
                </c:pt>
                <c:pt idx="161">
                  <c:v>42592</c:v>
                </c:pt>
                <c:pt idx="162">
                  <c:v>42591</c:v>
                </c:pt>
                <c:pt idx="163">
                  <c:v>42590</c:v>
                </c:pt>
                <c:pt idx="164">
                  <c:v>42587</c:v>
                </c:pt>
                <c:pt idx="165">
                  <c:v>42586</c:v>
                </c:pt>
                <c:pt idx="166">
                  <c:v>42585</c:v>
                </c:pt>
                <c:pt idx="167">
                  <c:v>42584</c:v>
                </c:pt>
                <c:pt idx="168">
                  <c:v>42583</c:v>
                </c:pt>
                <c:pt idx="169">
                  <c:v>42580</c:v>
                </c:pt>
                <c:pt idx="170">
                  <c:v>42579</c:v>
                </c:pt>
                <c:pt idx="171">
                  <c:v>42578</c:v>
                </c:pt>
                <c:pt idx="172">
                  <c:v>42577</c:v>
                </c:pt>
                <c:pt idx="173">
                  <c:v>42576</c:v>
                </c:pt>
                <c:pt idx="174">
                  <c:v>42573</c:v>
                </c:pt>
                <c:pt idx="175">
                  <c:v>42572</c:v>
                </c:pt>
                <c:pt idx="176">
                  <c:v>42571</c:v>
                </c:pt>
                <c:pt idx="177">
                  <c:v>42570</c:v>
                </c:pt>
                <c:pt idx="178">
                  <c:v>42569</c:v>
                </c:pt>
                <c:pt idx="179">
                  <c:v>42566</c:v>
                </c:pt>
                <c:pt idx="180">
                  <c:v>42565</c:v>
                </c:pt>
                <c:pt idx="181">
                  <c:v>42564</c:v>
                </c:pt>
                <c:pt idx="182">
                  <c:v>42563</c:v>
                </c:pt>
                <c:pt idx="183">
                  <c:v>42562</c:v>
                </c:pt>
                <c:pt idx="184">
                  <c:v>42559</c:v>
                </c:pt>
                <c:pt idx="185">
                  <c:v>42558</c:v>
                </c:pt>
                <c:pt idx="186">
                  <c:v>42557</c:v>
                </c:pt>
                <c:pt idx="187">
                  <c:v>42556</c:v>
                </c:pt>
                <c:pt idx="188">
                  <c:v>42552</c:v>
                </c:pt>
                <c:pt idx="189">
                  <c:v>42551</c:v>
                </c:pt>
                <c:pt idx="190">
                  <c:v>42550</c:v>
                </c:pt>
                <c:pt idx="191">
                  <c:v>42549</c:v>
                </c:pt>
                <c:pt idx="192">
                  <c:v>42548</c:v>
                </c:pt>
                <c:pt idx="193">
                  <c:v>42545</c:v>
                </c:pt>
                <c:pt idx="194">
                  <c:v>42544</c:v>
                </c:pt>
                <c:pt idx="195">
                  <c:v>42543</c:v>
                </c:pt>
                <c:pt idx="196">
                  <c:v>42542</c:v>
                </c:pt>
                <c:pt idx="197">
                  <c:v>42541</c:v>
                </c:pt>
                <c:pt idx="198">
                  <c:v>42538</c:v>
                </c:pt>
                <c:pt idx="199">
                  <c:v>42537</c:v>
                </c:pt>
                <c:pt idx="200">
                  <c:v>42536</c:v>
                </c:pt>
                <c:pt idx="201">
                  <c:v>42535</c:v>
                </c:pt>
                <c:pt idx="202">
                  <c:v>42534</c:v>
                </c:pt>
                <c:pt idx="203">
                  <c:v>42531</c:v>
                </c:pt>
                <c:pt idx="204">
                  <c:v>42530</c:v>
                </c:pt>
                <c:pt idx="205">
                  <c:v>42529</c:v>
                </c:pt>
                <c:pt idx="206">
                  <c:v>42528</c:v>
                </c:pt>
                <c:pt idx="207">
                  <c:v>42527</c:v>
                </c:pt>
                <c:pt idx="208">
                  <c:v>42524</c:v>
                </c:pt>
                <c:pt idx="209">
                  <c:v>42523</c:v>
                </c:pt>
                <c:pt idx="210">
                  <c:v>42522</c:v>
                </c:pt>
                <c:pt idx="211">
                  <c:v>42521</c:v>
                </c:pt>
                <c:pt idx="212">
                  <c:v>42517</c:v>
                </c:pt>
                <c:pt idx="213">
                  <c:v>42516</c:v>
                </c:pt>
                <c:pt idx="214">
                  <c:v>42515</c:v>
                </c:pt>
                <c:pt idx="215">
                  <c:v>42514</c:v>
                </c:pt>
                <c:pt idx="216">
                  <c:v>42513</c:v>
                </c:pt>
                <c:pt idx="217">
                  <c:v>42510</c:v>
                </c:pt>
                <c:pt idx="218">
                  <c:v>42509</c:v>
                </c:pt>
                <c:pt idx="219">
                  <c:v>42508</c:v>
                </c:pt>
                <c:pt idx="220">
                  <c:v>42507</c:v>
                </c:pt>
                <c:pt idx="221">
                  <c:v>42506</c:v>
                </c:pt>
                <c:pt idx="222">
                  <c:v>42503</c:v>
                </c:pt>
                <c:pt idx="223">
                  <c:v>42502</c:v>
                </c:pt>
                <c:pt idx="224">
                  <c:v>42501</c:v>
                </c:pt>
                <c:pt idx="225">
                  <c:v>42500</c:v>
                </c:pt>
                <c:pt idx="226">
                  <c:v>42499</c:v>
                </c:pt>
                <c:pt idx="227">
                  <c:v>42496</c:v>
                </c:pt>
                <c:pt idx="228">
                  <c:v>42495</c:v>
                </c:pt>
                <c:pt idx="229">
                  <c:v>42494</c:v>
                </c:pt>
                <c:pt idx="230">
                  <c:v>42493</c:v>
                </c:pt>
                <c:pt idx="231">
                  <c:v>42492</c:v>
                </c:pt>
                <c:pt idx="232">
                  <c:v>42489</c:v>
                </c:pt>
                <c:pt idx="233">
                  <c:v>42488</c:v>
                </c:pt>
                <c:pt idx="234">
                  <c:v>42487</c:v>
                </c:pt>
                <c:pt idx="235">
                  <c:v>42486</c:v>
                </c:pt>
                <c:pt idx="236">
                  <c:v>42485</c:v>
                </c:pt>
                <c:pt idx="237">
                  <c:v>42482</c:v>
                </c:pt>
                <c:pt idx="238">
                  <c:v>42481</c:v>
                </c:pt>
                <c:pt idx="239">
                  <c:v>42480</c:v>
                </c:pt>
                <c:pt idx="240">
                  <c:v>42479</c:v>
                </c:pt>
                <c:pt idx="241">
                  <c:v>42478</c:v>
                </c:pt>
                <c:pt idx="242">
                  <c:v>42475</c:v>
                </c:pt>
                <c:pt idx="243">
                  <c:v>42474</c:v>
                </c:pt>
                <c:pt idx="244">
                  <c:v>42473</c:v>
                </c:pt>
                <c:pt idx="245">
                  <c:v>42472</c:v>
                </c:pt>
                <c:pt idx="246">
                  <c:v>42471</c:v>
                </c:pt>
                <c:pt idx="247">
                  <c:v>42468</c:v>
                </c:pt>
                <c:pt idx="248">
                  <c:v>42467</c:v>
                </c:pt>
                <c:pt idx="249">
                  <c:v>42466</c:v>
                </c:pt>
                <c:pt idx="250">
                  <c:v>42465</c:v>
                </c:pt>
                <c:pt idx="251">
                  <c:v>42464</c:v>
                </c:pt>
                <c:pt idx="252">
                  <c:v>42461</c:v>
                </c:pt>
                <c:pt idx="253">
                  <c:v>42460</c:v>
                </c:pt>
                <c:pt idx="254">
                  <c:v>42459</c:v>
                </c:pt>
                <c:pt idx="255">
                  <c:v>42458</c:v>
                </c:pt>
                <c:pt idx="256">
                  <c:v>42457</c:v>
                </c:pt>
                <c:pt idx="257">
                  <c:v>42453</c:v>
                </c:pt>
                <c:pt idx="258">
                  <c:v>42452</c:v>
                </c:pt>
                <c:pt idx="259">
                  <c:v>42451</c:v>
                </c:pt>
                <c:pt idx="260">
                  <c:v>42450</c:v>
                </c:pt>
                <c:pt idx="261">
                  <c:v>42447</c:v>
                </c:pt>
                <c:pt idx="262">
                  <c:v>42446</c:v>
                </c:pt>
                <c:pt idx="263">
                  <c:v>42445</c:v>
                </c:pt>
                <c:pt idx="264">
                  <c:v>42444</c:v>
                </c:pt>
                <c:pt idx="265">
                  <c:v>42443</c:v>
                </c:pt>
                <c:pt idx="266">
                  <c:v>42440</c:v>
                </c:pt>
                <c:pt idx="267">
                  <c:v>42439</c:v>
                </c:pt>
                <c:pt idx="268">
                  <c:v>42438</c:v>
                </c:pt>
                <c:pt idx="269">
                  <c:v>42437</c:v>
                </c:pt>
                <c:pt idx="270">
                  <c:v>42436</c:v>
                </c:pt>
                <c:pt idx="271">
                  <c:v>42433</c:v>
                </c:pt>
                <c:pt idx="272">
                  <c:v>42432</c:v>
                </c:pt>
                <c:pt idx="273">
                  <c:v>42431</c:v>
                </c:pt>
                <c:pt idx="274">
                  <c:v>42430</c:v>
                </c:pt>
                <c:pt idx="275">
                  <c:v>42429</c:v>
                </c:pt>
                <c:pt idx="276">
                  <c:v>42426</c:v>
                </c:pt>
                <c:pt idx="277">
                  <c:v>42425</c:v>
                </c:pt>
                <c:pt idx="278">
                  <c:v>42424</c:v>
                </c:pt>
                <c:pt idx="279">
                  <c:v>42423</c:v>
                </c:pt>
                <c:pt idx="280">
                  <c:v>42422</c:v>
                </c:pt>
                <c:pt idx="281">
                  <c:v>42419</c:v>
                </c:pt>
                <c:pt idx="282">
                  <c:v>42418</c:v>
                </c:pt>
                <c:pt idx="283">
                  <c:v>42417</c:v>
                </c:pt>
                <c:pt idx="284">
                  <c:v>42416</c:v>
                </c:pt>
                <c:pt idx="285">
                  <c:v>42412</c:v>
                </c:pt>
                <c:pt idx="286">
                  <c:v>42411</c:v>
                </c:pt>
                <c:pt idx="287">
                  <c:v>42410</c:v>
                </c:pt>
                <c:pt idx="288">
                  <c:v>42409</c:v>
                </c:pt>
                <c:pt idx="289">
                  <c:v>42408</c:v>
                </c:pt>
                <c:pt idx="290">
                  <c:v>42405</c:v>
                </c:pt>
                <c:pt idx="291">
                  <c:v>42404</c:v>
                </c:pt>
                <c:pt idx="292">
                  <c:v>42403</c:v>
                </c:pt>
                <c:pt idx="293">
                  <c:v>42402</c:v>
                </c:pt>
                <c:pt idx="294">
                  <c:v>42401</c:v>
                </c:pt>
                <c:pt idx="295">
                  <c:v>42398</c:v>
                </c:pt>
                <c:pt idx="296">
                  <c:v>42397</c:v>
                </c:pt>
                <c:pt idx="297">
                  <c:v>42396</c:v>
                </c:pt>
                <c:pt idx="298">
                  <c:v>42395</c:v>
                </c:pt>
                <c:pt idx="299">
                  <c:v>42394</c:v>
                </c:pt>
                <c:pt idx="300">
                  <c:v>42391</c:v>
                </c:pt>
                <c:pt idx="301">
                  <c:v>42390</c:v>
                </c:pt>
                <c:pt idx="302">
                  <c:v>42389</c:v>
                </c:pt>
                <c:pt idx="303">
                  <c:v>42388</c:v>
                </c:pt>
                <c:pt idx="304">
                  <c:v>42384</c:v>
                </c:pt>
                <c:pt idx="305">
                  <c:v>42383</c:v>
                </c:pt>
                <c:pt idx="306">
                  <c:v>42382</c:v>
                </c:pt>
                <c:pt idx="307">
                  <c:v>42381</c:v>
                </c:pt>
                <c:pt idx="308">
                  <c:v>42380</c:v>
                </c:pt>
                <c:pt idx="309">
                  <c:v>42377</c:v>
                </c:pt>
                <c:pt idx="310">
                  <c:v>42376</c:v>
                </c:pt>
                <c:pt idx="311">
                  <c:v>42375</c:v>
                </c:pt>
                <c:pt idx="312">
                  <c:v>42374</c:v>
                </c:pt>
                <c:pt idx="313">
                  <c:v>42373</c:v>
                </c:pt>
                <c:pt idx="314">
                  <c:v>42369</c:v>
                </c:pt>
                <c:pt idx="315">
                  <c:v>42368</c:v>
                </c:pt>
                <c:pt idx="316">
                  <c:v>42367</c:v>
                </c:pt>
                <c:pt idx="317">
                  <c:v>42366</c:v>
                </c:pt>
                <c:pt idx="318">
                  <c:v>42362</c:v>
                </c:pt>
                <c:pt idx="319">
                  <c:v>42361</c:v>
                </c:pt>
                <c:pt idx="320">
                  <c:v>42360</c:v>
                </c:pt>
                <c:pt idx="321">
                  <c:v>42359</c:v>
                </c:pt>
                <c:pt idx="322">
                  <c:v>42356</c:v>
                </c:pt>
                <c:pt idx="323">
                  <c:v>42355</c:v>
                </c:pt>
                <c:pt idx="324">
                  <c:v>42354</c:v>
                </c:pt>
                <c:pt idx="325">
                  <c:v>42353</c:v>
                </c:pt>
                <c:pt idx="326">
                  <c:v>42352</c:v>
                </c:pt>
                <c:pt idx="327">
                  <c:v>42349</c:v>
                </c:pt>
                <c:pt idx="328">
                  <c:v>42348</c:v>
                </c:pt>
                <c:pt idx="329">
                  <c:v>42347</c:v>
                </c:pt>
                <c:pt idx="330">
                  <c:v>42346</c:v>
                </c:pt>
                <c:pt idx="331">
                  <c:v>42345</c:v>
                </c:pt>
                <c:pt idx="332">
                  <c:v>42342</c:v>
                </c:pt>
                <c:pt idx="333">
                  <c:v>42341</c:v>
                </c:pt>
                <c:pt idx="334">
                  <c:v>42340</c:v>
                </c:pt>
                <c:pt idx="335">
                  <c:v>42339</c:v>
                </c:pt>
                <c:pt idx="336">
                  <c:v>42338</c:v>
                </c:pt>
                <c:pt idx="337">
                  <c:v>42335</c:v>
                </c:pt>
                <c:pt idx="338">
                  <c:v>42333</c:v>
                </c:pt>
                <c:pt idx="339">
                  <c:v>42332</c:v>
                </c:pt>
                <c:pt idx="340">
                  <c:v>42331</c:v>
                </c:pt>
                <c:pt idx="341">
                  <c:v>42328</c:v>
                </c:pt>
                <c:pt idx="342">
                  <c:v>42327</c:v>
                </c:pt>
                <c:pt idx="343">
                  <c:v>42326</c:v>
                </c:pt>
                <c:pt idx="344">
                  <c:v>42325</c:v>
                </c:pt>
                <c:pt idx="345">
                  <c:v>42324</c:v>
                </c:pt>
                <c:pt idx="346">
                  <c:v>42321</c:v>
                </c:pt>
                <c:pt idx="347">
                  <c:v>42320</c:v>
                </c:pt>
                <c:pt idx="348">
                  <c:v>42319</c:v>
                </c:pt>
                <c:pt idx="349">
                  <c:v>42318</c:v>
                </c:pt>
                <c:pt idx="350">
                  <c:v>42317</c:v>
                </c:pt>
                <c:pt idx="351">
                  <c:v>42314</c:v>
                </c:pt>
                <c:pt idx="352">
                  <c:v>42313</c:v>
                </c:pt>
                <c:pt idx="353">
                  <c:v>42312</c:v>
                </c:pt>
                <c:pt idx="354">
                  <c:v>42311</c:v>
                </c:pt>
                <c:pt idx="355">
                  <c:v>42310</c:v>
                </c:pt>
                <c:pt idx="356">
                  <c:v>42307</c:v>
                </c:pt>
                <c:pt idx="357">
                  <c:v>42306</c:v>
                </c:pt>
                <c:pt idx="358">
                  <c:v>42305</c:v>
                </c:pt>
                <c:pt idx="359">
                  <c:v>42304</c:v>
                </c:pt>
                <c:pt idx="360">
                  <c:v>42303</c:v>
                </c:pt>
                <c:pt idx="361">
                  <c:v>42300</c:v>
                </c:pt>
                <c:pt idx="362">
                  <c:v>42299</c:v>
                </c:pt>
                <c:pt idx="363">
                  <c:v>42298</c:v>
                </c:pt>
                <c:pt idx="364">
                  <c:v>42297</c:v>
                </c:pt>
                <c:pt idx="365">
                  <c:v>42296</c:v>
                </c:pt>
                <c:pt idx="366">
                  <c:v>42293</c:v>
                </c:pt>
                <c:pt idx="367">
                  <c:v>42292</c:v>
                </c:pt>
                <c:pt idx="368">
                  <c:v>42291</c:v>
                </c:pt>
                <c:pt idx="369">
                  <c:v>42290</c:v>
                </c:pt>
                <c:pt idx="370">
                  <c:v>42289</c:v>
                </c:pt>
                <c:pt idx="371">
                  <c:v>42286</c:v>
                </c:pt>
                <c:pt idx="372">
                  <c:v>42285</c:v>
                </c:pt>
                <c:pt idx="373">
                  <c:v>42284</c:v>
                </c:pt>
                <c:pt idx="374">
                  <c:v>42283</c:v>
                </c:pt>
                <c:pt idx="375">
                  <c:v>42282</c:v>
                </c:pt>
                <c:pt idx="376">
                  <c:v>42279</c:v>
                </c:pt>
                <c:pt idx="377">
                  <c:v>42278</c:v>
                </c:pt>
                <c:pt idx="378">
                  <c:v>42277</c:v>
                </c:pt>
                <c:pt idx="379">
                  <c:v>42276</c:v>
                </c:pt>
                <c:pt idx="380">
                  <c:v>42275</c:v>
                </c:pt>
                <c:pt idx="381">
                  <c:v>42272</c:v>
                </c:pt>
                <c:pt idx="382">
                  <c:v>42271</c:v>
                </c:pt>
                <c:pt idx="383">
                  <c:v>42270</c:v>
                </c:pt>
                <c:pt idx="384">
                  <c:v>42269</c:v>
                </c:pt>
                <c:pt idx="385">
                  <c:v>42268</c:v>
                </c:pt>
                <c:pt idx="386">
                  <c:v>42265</c:v>
                </c:pt>
                <c:pt idx="387">
                  <c:v>42264</c:v>
                </c:pt>
                <c:pt idx="388">
                  <c:v>42263</c:v>
                </c:pt>
                <c:pt idx="389">
                  <c:v>42262</c:v>
                </c:pt>
                <c:pt idx="390">
                  <c:v>42261</c:v>
                </c:pt>
                <c:pt idx="391">
                  <c:v>42258</c:v>
                </c:pt>
                <c:pt idx="392">
                  <c:v>42257</c:v>
                </c:pt>
                <c:pt idx="393">
                  <c:v>42256</c:v>
                </c:pt>
                <c:pt idx="394">
                  <c:v>42255</c:v>
                </c:pt>
                <c:pt idx="395">
                  <c:v>42251</c:v>
                </c:pt>
                <c:pt idx="396">
                  <c:v>42250</c:v>
                </c:pt>
                <c:pt idx="397">
                  <c:v>42249</c:v>
                </c:pt>
                <c:pt idx="398">
                  <c:v>42248</c:v>
                </c:pt>
                <c:pt idx="399">
                  <c:v>42247</c:v>
                </c:pt>
                <c:pt idx="400">
                  <c:v>42244</c:v>
                </c:pt>
                <c:pt idx="401">
                  <c:v>42243</c:v>
                </c:pt>
                <c:pt idx="402">
                  <c:v>42242</c:v>
                </c:pt>
                <c:pt idx="403">
                  <c:v>42241</c:v>
                </c:pt>
                <c:pt idx="404">
                  <c:v>42240</c:v>
                </c:pt>
                <c:pt idx="405">
                  <c:v>42237</c:v>
                </c:pt>
                <c:pt idx="406">
                  <c:v>42236</c:v>
                </c:pt>
                <c:pt idx="407">
                  <c:v>42235</c:v>
                </c:pt>
                <c:pt idx="408">
                  <c:v>42234</c:v>
                </c:pt>
                <c:pt idx="409">
                  <c:v>42233</c:v>
                </c:pt>
                <c:pt idx="410">
                  <c:v>42230</c:v>
                </c:pt>
                <c:pt idx="411">
                  <c:v>42229</c:v>
                </c:pt>
                <c:pt idx="412">
                  <c:v>42228</c:v>
                </c:pt>
                <c:pt idx="413">
                  <c:v>42227</c:v>
                </c:pt>
                <c:pt idx="414">
                  <c:v>42226</c:v>
                </c:pt>
                <c:pt idx="415">
                  <c:v>42223</c:v>
                </c:pt>
              </c:numCache>
            </c:numRef>
          </c:cat>
          <c:val>
            <c:numRef>
              <c:f>'Graf 3+4'!$J$3:$J$418</c:f>
              <c:numCache>
                <c:formatCode>General</c:formatCode>
                <c:ptCount val="416"/>
                <c:pt idx="0">
                  <c:v>52.83</c:v>
                </c:pt>
                <c:pt idx="1">
                  <c:v>52.96</c:v>
                </c:pt>
                <c:pt idx="2">
                  <c:v>52.42</c:v>
                </c:pt>
                <c:pt idx="3">
                  <c:v>51.33</c:v>
                </c:pt>
                <c:pt idx="4">
                  <c:v>50.75</c:v>
                </c:pt>
                <c:pt idx="5">
                  <c:v>50.8</c:v>
                </c:pt>
                <c:pt idx="6">
                  <c:v>50.56</c:v>
                </c:pt>
                <c:pt idx="7">
                  <c:v>50.64</c:v>
                </c:pt>
                <c:pt idx="8">
                  <c:v>50.96</c:v>
                </c:pt>
                <c:pt idx="9">
                  <c:v>51.62</c:v>
                </c:pt>
                <c:pt idx="10">
                  <c:v>51.76</c:v>
                </c:pt>
                <c:pt idx="11">
                  <c:v>51.74</c:v>
                </c:pt>
                <c:pt idx="12">
                  <c:v>51.81</c:v>
                </c:pt>
                <c:pt idx="13">
                  <c:v>50.92</c:v>
                </c:pt>
                <c:pt idx="14">
                  <c:v>51.35</c:v>
                </c:pt>
                <c:pt idx="15">
                  <c:v>51.37</c:v>
                </c:pt>
                <c:pt idx="16">
                  <c:v>52.19</c:v>
                </c:pt>
                <c:pt idx="17">
                  <c:v>53.11</c:v>
                </c:pt>
                <c:pt idx="18">
                  <c:v>55.92</c:v>
                </c:pt>
                <c:pt idx="19">
                  <c:v>56.01</c:v>
                </c:pt>
                <c:pt idx="20">
                  <c:v>55.9</c:v>
                </c:pt>
                <c:pt idx="21">
                  <c:v>55.08</c:v>
                </c:pt>
                <c:pt idx="22">
                  <c:v>56.36</c:v>
                </c:pt>
                <c:pt idx="23">
                  <c:v>55.59</c:v>
                </c:pt>
                <c:pt idx="24">
                  <c:v>55.93</c:v>
                </c:pt>
                <c:pt idx="25">
                  <c:v>55.99</c:v>
                </c:pt>
                <c:pt idx="26">
                  <c:v>56.58</c:v>
                </c:pt>
                <c:pt idx="27">
                  <c:v>55.84</c:v>
                </c:pt>
                <c:pt idx="28">
                  <c:v>56.66</c:v>
                </c:pt>
                <c:pt idx="29">
                  <c:v>55.81</c:v>
                </c:pt>
                <c:pt idx="30">
                  <c:v>55.65</c:v>
                </c:pt>
                <c:pt idx="31">
                  <c:v>55.75</c:v>
                </c:pt>
                <c:pt idx="32">
                  <c:v>55.97</c:v>
                </c:pt>
                <c:pt idx="33">
                  <c:v>55.59</c:v>
                </c:pt>
                <c:pt idx="34">
                  <c:v>56.7</c:v>
                </c:pt>
                <c:pt idx="35">
                  <c:v>55.63</c:v>
                </c:pt>
                <c:pt idx="36">
                  <c:v>55.12</c:v>
                </c:pt>
                <c:pt idx="37">
                  <c:v>55.05</c:v>
                </c:pt>
                <c:pt idx="38">
                  <c:v>55.72</c:v>
                </c:pt>
                <c:pt idx="39">
                  <c:v>56.81</c:v>
                </c:pt>
                <c:pt idx="40">
                  <c:v>56.56</c:v>
                </c:pt>
                <c:pt idx="41">
                  <c:v>56.8</c:v>
                </c:pt>
                <c:pt idx="42">
                  <c:v>55.7</c:v>
                </c:pt>
                <c:pt idx="43">
                  <c:v>55.23</c:v>
                </c:pt>
                <c:pt idx="44">
                  <c:v>55.52</c:v>
                </c:pt>
                <c:pt idx="45">
                  <c:v>56.24</c:v>
                </c:pt>
                <c:pt idx="46">
                  <c:v>55.08</c:v>
                </c:pt>
                <c:pt idx="47">
                  <c:v>55.44</c:v>
                </c:pt>
                <c:pt idx="48">
                  <c:v>55.23</c:v>
                </c:pt>
                <c:pt idx="49">
                  <c:v>55.49</c:v>
                </c:pt>
                <c:pt idx="50">
                  <c:v>54.16</c:v>
                </c:pt>
                <c:pt idx="51">
                  <c:v>53.92</c:v>
                </c:pt>
                <c:pt idx="52">
                  <c:v>55.47</c:v>
                </c:pt>
                <c:pt idx="53">
                  <c:v>55.45</c:v>
                </c:pt>
                <c:pt idx="54">
                  <c:v>56.01</c:v>
                </c:pt>
                <c:pt idx="55">
                  <c:v>55.1</c:v>
                </c:pt>
                <c:pt idx="56">
                  <c:v>53.64</c:v>
                </c:pt>
                <c:pt idx="57">
                  <c:v>54.94</c:v>
                </c:pt>
                <c:pt idx="58">
                  <c:v>57.1</c:v>
                </c:pt>
                <c:pt idx="59">
                  <c:v>56.89</c:v>
                </c:pt>
                <c:pt idx="60">
                  <c:v>56.46</c:v>
                </c:pt>
                <c:pt idx="61">
                  <c:v>55.47</c:v>
                </c:pt>
                <c:pt idx="62">
                  <c:v>56.82</c:v>
                </c:pt>
                <c:pt idx="63">
                  <c:v>56.14</c:v>
                </c:pt>
                <c:pt idx="64">
                  <c:v>56.22</c:v>
                </c:pt>
                <c:pt idx="65">
                  <c:v>56.09</c:v>
                </c:pt>
                <c:pt idx="66">
                  <c:v>55.16</c:v>
                </c:pt>
                <c:pt idx="67">
                  <c:v>55.05</c:v>
                </c:pt>
                <c:pt idx="68">
                  <c:v>54.46</c:v>
                </c:pt>
                <c:pt idx="69">
                  <c:v>55.35</c:v>
                </c:pt>
                <c:pt idx="70">
                  <c:v>54.92</c:v>
                </c:pt>
                <c:pt idx="71">
                  <c:v>55.21</c:v>
                </c:pt>
                <c:pt idx="72">
                  <c:v>54.02</c:v>
                </c:pt>
                <c:pt idx="73">
                  <c:v>53.9</c:v>
                </c:pt>
                <c:pt idx="74">
                  <c:v>55.72</c:v>
                </c:pt>
                <c:pt idx="75">
                  <c:v>55.69</c:v>
                </c:pt>
                <c:pt idx="76">
                  <c:v>54.33</c:v>
                </c:pt>
                <c:pt idx="77">
                  <c:v>53.89</c:v>
                </c:pt>
                <c:pt idx="78">
                  <c:v>53</c:v>
                </c:pt>
                <c:pt idx="79">
                  <c:v>53.93</c:v>
                </c:pt>
                <c:pt idx="80">
                  <c:v>54.94</c:v>
                </c:pt>
                <c:pt idx="81">
                  <c:v>54.46</c:v>
                </c:pt>
                <c:pt idx="82">
                  <c:v>53.94</c:v>
                </c:pt>
                <c:pt idx="83">
                  <c:v>50.47</c:v>
                </c:pt>
                <c:pt idx="84">
                  <c:v>46.38</c:v>
                </c:pt>
                <c:pt idx="85">
                  <c:v>48.24</c:v>
                </c:pt>
                <c:pt idx="86">
                  <c:v>47.24</c:v>
                </c:pt>
                <c:pt idx="87">
                  <c:v>48.95</c:v>
                </c:pt>
                <c:pt idx="88">
                  <c:v>49.12</c:v>
                </c:pt>
                <c:pt idx="89">
                  <c:v>48.9</c:v>
                </c:pt>
                <c:pt idx="90">
                  <c:v>46.86</c:v>
                </c:pt>
                <c:pt idx="91">
                  <c:v>46.49</c:v>
                </c:pt>
                <c:pt idx="92">
                  <c:v>46.63</c:v>
                </c:pt>
                <c:pt idx="93">
                  <c:v>46.95</c:v>
                </c:pt>
                <c:pt idx="94">
                  <c:v>44.43</c:v>
                </c:pt>
                <c:pt idx="95">
                  <c:v>44.75</c:v>
                </c:pt>
                <c:pt idx="96">
                  <c:v>45.84</c:v>
                </c:pt>
                <c:pt idx="97">
                  <c:v>46.36</c:v>
                </c:pt>
                <c:pt idx="98">
                  <c:v>46.04</c:v>
                </c:pt>
                <c:pt idx="99">
                  <c:v>46.15</c:v>
                </c:pt>
                <c:pt idx="100">
                  <c:v>45.58</c:v>
                </c:pt>
                <c:pt idx="101">
                  <c:v>46.35</c:v>
                </c:pt>
                <c:pt idx="102">
                  <c:v>46.86</c:v>
                </c:pt>
                <c:pt idx="103">
                  <c:v>48.14</c:v>
                </c:pt>
                <c:pt idx="104">
                  <c:v>48.3</c:v>
                </c:pt>
                <c:pt idx="105">
                  <c:v>49.71</c:v>
                </c:pt>
                <c:pt idx="106">
                  <c:v>50.47</c:v>
                </c:pt>
                <c:pt idx="107">
                  <c:v>49.98</c:v>
                </c:pt>
                <c:pt idx="108">
                  <c:v>50.79</c:v>
                </c:pt>
                <c:pt idx="109">
                  <c:v>51.46</c:v>
                </c:pt>
                <c:pt idx="110">
                  <c:v>51.78</c:v>
                </c:pt>
                <c:pt idx="111">
                  <c:v>51.38</c:v>
                </c:pt>
                <c:pt idx="112">
                  <c:v>52.67</c:v>
                </c:pt>
                <c:pt idx="113">
                  <c:v>51.68</c:v>
                </c:pt>
                <c:pt idx="114">
                  <c:v>51.52</c:v>
                </c:pt>
                <c:pt idx="115">
                  <c:v>51.95</c:v>
                </c:pt>
                <c:pt idx="116">
                  <c:v>52.03</c:v>
                </c:pt>
                <c:pt idx="117">
                  <c:v>51.81</c:v>
                </c:pt>
                <c:pt idx="118">
                  <c:v>52.41</c:v>
                </c:pt>
                <c:pt idx="119">
                  <c:v>53.14</c:v>
                </c:pt>
                <c:pt idx="120">
                  <c:v>51.93</c:v>
                </c:pt>
                <c:pt idx="121">
                  <c:v>52.51</c:v>
                </c:pt>
                <c:pt idx="122">
                  <c:v>51.86</c:v>
                </c:pt>
                <c:pt idx="123">
                  <c:v>50.87</c:v>
                </c:pt>
                <c:pt idx="124">
                  <c:v>50.89</c:v>
                </c:pt>
                <c:pt idx="125">
                  <c:v>49.06</c:v>
                </c:pt>
                <c:pt idx="126">
                  <c:v>49.24</c:v>
                </c:pt>
                <c:pt idx="127">
                  <c:v>48.69</c:v>
                </c:pt>
                <c:pt idx="128">
                  <c:v>45.97</c:v>
                </c:pt>
                <c:pt idx="129">
                  <c:v>47.35</c:v>
                </c:pt>
                <c:pt idx="130">
                  <c:v>45.89</c:v>
                </c:pt>
                <c:pt idx="131">
                  <c:v>47.65</c:v>
                </c:pt>
                <c:pt idx="132">
                  <c:v>46.83</c:v>
                </c:pt>
                <c:pt idx="133">
                  <c:v>45.88</c:v>
                </c:pt>
                <c:pt idx="134">
                  <c:v>45.95</c:v>
                </c:pt>
                <c:pt idx="135">
                  <c:v>45.77</c:v>
                </c:pt>
                <c:pt idx="136">
                  <c:v>46.59</c:v>
                </c:pt>
                <c:pt idx="137">
                  <c:v>45.85</c:v>
                </c:pt>
                <c:pt idx="138">
                  <c:v>47.1</c:v>
                </c:pt>
                <c:pt idx="139">
                  <c:v>48.32</c:v>
                </c:pt>
                <c:pt idx="140">
                  <c:v>48.01</c:v>
                </c:pt>
                <c:pt idx="141">
                  <c:v>49.99</c:v>
                </c:pt>
                <c:pt idx="142">
                  <c:v>47.98</c:v>
                </c:pt>
                <c:pt idx="143">
                  <c:v>47.26</c:v>
                </c:pt>
                <c:pt idx="144">
                  <c:v>46.83</c:v>
                </c:pt>
                <c:pt idx="145">
                  <c:v>45.45</c:v>
                </c:pt>
                <c:pt idx="146">
                  <c:v>47.04</c:v>
                </c:pt>
                <c:pt idx="147">
                  <c:v>48.37</c:v>
                </c:pt>
                <c:pt idx="148">
                  <c:v>49.26</c:v>
                </c:pt>
                <c:pt idx="149">
                  <c:v>49.92</c:v>
                </c:pt>
                <c:pt idx="150">
                  <c:v>49.67</c:v>
                </c:pt>
                <c:pt idx="151">
                  <c:v>49.05</c:v>
                </c:pt>
                <c:pt idx="152">
                  <c:v>49.96</c:v>
                </c:pt>
                <c:pt idx="153">
                  <c:v>49.16</c:v>
                </c:pt>
                <c:pt idx="154">
                  <c:v>50.88</c:v>
                </c:pt>
                <c:pt idx="155">
                  <c:v>50.89</c:v>
                </c:pt>
                <c:pt idx="156">
                  <c:v>49.85</c:v>
                </c:pt>
                <c:pt idx="157">
                  <c:v>49.23</c:v>
                </c:pt>
                <c:pt idx="158">
                  <c:v>48.35</c:v>
                </c:pt>
                <c:pt idx="159">
                  <c:v>46.97</c:v>
                </c:pt>
                <c:pt idx="160">
                  <c:v>46.04</c:v>
                </c:pt>
                <c:pt idx="161">
                  <c:v>44.05</c:v>
                </c:pt>
                <c:pt idx="162">
                  <c:v>44.98</c:v>
                </c:pt>
                <c:pt idx="163">
                  <c:v>45.39</c:v>
                </c:pt>
                <c:pt idx="164">
                  <c:v>44.27</c:v>
                </c:pt>
                <c:pt idx="165">
                  <c:v>44.29</c:v>
                </c:pt>
                <c:pt idx="166">
                  <c:v>43.1</c:v>
                </c:pt>
                <c:pt idx="167">
                  <c:v>41.8</c:v>
                </c:pt>
                <c:pt idx="168">
                  <c:v>42.14</c:v>
                </c:pt>
                <c:pt idx="169">
                  <c:v>42.46</c:v>
                </c:pt>
                <c:pt idx="170">
                  <c:v>42.7</c:v>
                </c:pt>
                <c:pt idx="171">
                  <c:v>43.47</c:v>
                </c:pt>
                <c:pt idx="172">
                  <c:v>44.87</c:v>
                </c:pt>
                <c:pt idx="173">
                  <c:v>44.72</c:v>
                </c:pt>
                <c:pt idx="174">
                  <c:v>45.69</c:v>
                </c:pt>
                <c:pt idx="175">
                  <c:v>46.2</c:v>
                </c:pt>
                <c:pt idx="176">
                  <c:v>47.17</c:v>
                </c:pt>
                <c:pt idx="177">
                  <c:v>46.66</c:v>
                </c:pt>
                <c:pt idx="178">
                  <c:v>46.96</c:v>
                </c:pt>
                <c:pt idx="179">
                  <c:v>47.61</c:v>
                </c:pt>
                <c:pt idx="180">
                  <c:v>47.37</c:v>
                </c:pt>
                <c:pt idx="181">
                  <c:v>46.26</c:v>
                </c:pt>
                <c:pt idx="182">
                  <c:v>48.47</c:v>
                </c:pt>
                <c:pt idx="183">
                  <c:v>46.25</c:v>
                </c:pt>
                <c:pt idx="184">
                  <c:v>46.76</c:v>
                </c:pt>
                <c:pt idx="185">
                  <c:v>46.4</c:v>
                </c:pt>
                <c:pt idx="186">
                  <c:v>48.8</c:v>
                </c:pt>
                <c:pt idx="187">
                  <c:v>47.96</c:v>
                </c:pt>
                <c:pt idx="188">
                  <c:v>50.35</c:v>
                </c:pt>
                <c:pt idx="189">
                  <c:v>49.68</c:v>
                </c:pt>
                <c:pt idx="190">
                  <c:v>50.61</c:v>
                </c:pt>
                <c:pt idx="191">
                  <c:v>48.58</c:v>
                </c:pt>
                <c:pt idx="192">
                  <c:v>47.16</c:v>
                </c:pt>
                <c:pt idx="193">
                  <c:v>48.41</c:v>
                </c:pt>
                <c:pt idx="194">
                  <c:v>50.91</c:v>
                </c:pt>
                <c:pt idx="195">
                  <c:v>49.88</c:v>
                </c:pt>
                <c:pt idx="196">
                  <c:v>50.62</c:v>
                </c:pt>
                <c:pt idx="197">
                  <c:v>50.65</c:v>
                </c:pt>
                <c:pt idx="198">
                  <c:v>49.17</c:v>
                </c:pt>
                <c:pt idx="199">
                  <c:v>47.19</c:v>
                </c:pt>
                <c:pt idx="200">
                  <c:v>48.97</c:v>
                </c:pt>
                <c:pt idx="201">
                  <c:v>49.83</c:v>
                </c:pt>
                <c:pt idx="202">
                  <c:v>50.35</c:v>
                </c:pt>
                <c:pt idx="203">
                  <c:v>50.54</c:v>
                </c:pt>
                <c:pt idx="204">
                  <c:v>51.95</c:v>
                </c:pt>
                <c:pt idx="205">
                  <c:v>52.51</c:v>
                </c:pt>
                <c:pt idx="206">
                  <c:v>51.44</c:v>
                </c:pt>
                <c:pt idx="207">
                  <c:v>50.55</c:v>
                </c:pt>
                <c:pt idx="208">
                  <c:v>49.64</c:v>
                </c:pt>
                <c:pt idx="209">
                  <c:v>50.04</c:v>
                </c:pt>
                <c:pt idx="210">
                  <c:v>49.72</c:v>
                </c:pt>
                <c:pt idx="211">
                  <c:v>49.69</c:v>
                </c:pt>
                <c:pt idx="212">
                  <c:v>49.32</c:v>
                </c:pt>
                <c:pt idx="213">
                  <c:v>49.59</c:v>
                </c:pt>
                <c:pt idx="214">
                  <c:v>49.74</c:v>
                </c:pt>
                <c:pt idx="215">
                  <c:v>48.61</c:v>
                </c:pt>
                <c:pt idx="216">
                  <c:v>48.35</c:v>
                </c:pt>
                <c:pt idx="217">
                  <c:v>48.72</c:v>
                </c:pt>
                <c:pt idx="218">
                  <c:v>48.81</c:v>
                </c:pt>
                <c:pt idx="219">
                  <c:v>48.93</c:v>
                </c:pt>
                <c:pt idx="220">
                  <c:v>49.28</c:v>
                </c:pt>
                <c:pt idx="221">
                  <c:v>48.97</c:v>
                </c:pt>
                <c:pt idx="222">
                  <c:v>47.83</c:v>
                </c:pt>
                <c:pt idx="223">
                  <c:v>48.08</c:v>
                </c:pt>
                <c:pt idx="224">
                  <c:v>47.6</c:v>
                </c:pt>
                <c:pt idx="225">
                  <c:v>45.52</c:v>
                </c:pt>
                <c:pt idx="226">
                  <c:v>43.63</c:v>
                </c:pt>
                <c:pt idx="227">
                  <c:v>45.37</c:v>
                </c:pt>
                <c:pt idx="228">
                  <c:v>45.01</c:v>
                </c:pt>
                <c:pt idx="229">
                  <c:v>44.62</c:v>
                </c:pt>
                <c:pt idx="230">
                  <c:v>44.97</c:v>
                </c:pt>
                <c:pt idx="231">
                  <c:v>45.83</c:v>
                </c:pt>
                <c:pt idx="232">
                  <c:v>48.13</c:v>
                </c:pt>
                <c:pt idx="233">
                  <c:v>48.14</c:v>
                </c:pt>
                <c:pt idx="234">
                  <c:v>47.18</c:v>
                </c:pt>
                <c:pt idx="235">
                  <c:v>45.74</c:v>
                </c:pt>
                <c:pt idx="236">
                  <c:v>44.48</c:v>
                </c:pt>
                <c:pt idx="237">
                  <c:v>45.11</c:v>
                </c:pt>
                <c:pt idx="238">
                  <c:v>44.53</c:v>
                </c:pt>
                <c:pt idx="239">
                  <c:v>45.8</c:v>
                </c:pt>
                <c:pt idx="240">
                  <c:v>44.03</c:v>
                </c:pt>
                <c:pt idx="241">
                  <c:v>42.91</c:v>
                </c:pt>
                <c:pt idx="242">
                  <c:v>43.1</c:v>
                </c:pt>
                <c:pt idx="243">
                  <c:v>43.84</c:v>
                </c:pt>
                <c:pt idx="244">
                  <c:v>44.18</c:v>
                </c:pt>
                <c:pt idx="245">
                  <c:v>44.69</c:v>
                </c:pt>
                <c:pt idx="246">
                  <c:v>42.83</c:v>
                </c:pt>
                <c:pt idx="247">
                  <c:v>41.94</c:v>
                </c:pt>
                <c:pt idx="248">
                  <c:v>39.43</c:v>
                </c:pt>
                <c:pt idx="249">
                  <c:v>39.840000000000003</c:v>
                </c:pt>
                <c:pt idx="250">
                  <c:v>37.869999999999997</c:v>
                </c:pt>
                <c:pt idx="251">
                  <c:v>37.69</c:v>
                </c:pt>
                <c:pt idx="252">
                  <c:v>38.67</c:v>
                </c:pt>
                <c:pt idx="253">
                  <c:v>39.6</c:v>
                </c:pt>
                <c:pt idx="254">
                  <c:v>39.26</c:v>
                </c:pt>
                <c:pt idx="255">
                  <c:v>39.14</c:v>
                </c:pt>
                <c:pt idx="256">
                  <c:v>40.270000000000003</c:v>
                </c:pt>
                <c:pt idx="257">
                  <c:v>40.44</c:v>
                </c:pt>
                <c:pt idx="258">
                  <c:v>40.47</c:v>
                </c:pt>
                <c:pt idx="259">
                  <c:v>41.79</c:v>
                </c:pt>
                <c:pt idx="260">
                  <c:v>41.54</c:v>
                </c:pt>
                <c:pt idx="261">
                  <c:v>41.2</c:v>
                </c:pt>
                <c:pt idx="262">
                  <c:v>41.54</c:v>
                </c:pt>
                <c:pt idx="263">
                  <c:v>40.33</c:v>
                </c:pt>
                <c:pt idx="264">
                  <c:v>38.74</c:v>
                </c:pt>
                <c:pt idx="265">
                  <c:v>39.53</c:v>
                </c:pt>
                <c:pt idx="266">
                  <c:v>40.39</c:v>
                </c:pt>
                <c:pt idx="267">
                  <c:v>40.049999999999997</c:v>
                </c:pt>
                <c:pt idx="268">
                  <c:v>41.07</c:v>
                </c:pt>
                <c:pt idx="269">
                  <c:v>39.65</c:v>
                </c:pt>
                <c:pt idx="270">
                  <c:v>40.840000000000003</c:v>
                </c:pt>
                <c:pt idx="271">
                  <c:v>38.72</c:v>
                </c:pt>
                <c:pt idx="272">
                  <c:v>37.07</c:v>
                </c:pt>
                <c:pt idx="273">
                  <c:v>36.93</c:v>
                </c:pt>
                <c:pt idx="274">
                  <c:v>36.81</c:v>
                </c:pt>
                <c:pt idx="275">
                  <c:v>35.97</c:v>
                </c:pt>
                <c:pt idx="276">
                  <c:v>35.1</c:v>
                </c:pt>
                <c:pt idx="277">
                  <c:v>35.29</c:v>
                </c:pt>
                <c:pt idx="278">
                  <c:v>34.409999999999997</c:v>
                </c:pt>
                <c:pt idx="279">
                  <c:v>33.270000000000003</c:v>
                </c:pt>
                <c:pt idx="280">
                  <c:v>34.69</c:v>
                </c:pt>
                <c:pt idx="281">
                  <c:v>33.01</c:v>
                </c:pt>
                <c:pt idx="282">
                  <c:v>34.28</c:v>
                </c:pt>
                <c:pt idx="283">
                  <c:v>34.5</c:v>
                </c:pt>
                <c:pt idx="284">
                  <c:v>32.18</c:v>
                </c:pt>
                <c:pt idx="285">
                  <c:v>33.36</c:v>
                </c:pt>
                <c:pt idx="286">
                  <c:v>30.06</c:v>
                </c:pt>
                <c:pt idx="287">
                  <c:v>30.84</c:v>
                </c:pt>
                <c:pt idx="288">
                  <c:v>30.32</c:v>
                </c:pt>
                <c:pt idx="289">
                  <c:v>32.880000000000003</c:v>
                </c:pt>
                <c:pt idx="290">
                  <c:v>34.06</c:v>
                </c:pt>
                <c:pt idx="291">
                  <c:v>34.46</c:v>
                </c:pt>
                <c:pt idx="292">
                  <c:v>35.04</c:v>
                </c:pt>
                <c:pt idx="293">
                  <c:v>32.72</c:v>
                </c:pt>
                <c:pt idx="294">
                  <c:v>34.24</c:v>
                </c:pt>
                <c:pt idx="295">
                  <c:v>34.74</c:v>
                </c:pt>
                <c:pt idx="296">
                  <c:v>33.89</c:v>
                </c:pt>
                <c:pt idx="297">
                  <c:v>33.1</c:v>
                </c:pt>
                <c:pt idx="298">
                  <c:v>31.8</c:v>
                </c:pt>
                <c:pt idx="299">
                  <c:v>30.5</c:v>
                </c:pt>
                <c:pt idx="300">
                  <c:v>32.18</c:v>
                </c:pt>
                <c:pt idx="301">
                  <c:v>29.25</c:v>
                </c:pt>
                <c:pt idx="302">
                  <c:v>27.88</c:v>
                </c:pt>
                <c:pt idx="303">
                  <c:v>28.76</c:v>
                </c:pt>
                <c:pt idx="304">
                  <c:v>28.94</c:v>
                </c:pt>
                <c:pt idx="305">
                  <c:v>31.03</c:v>
                </c:pt>
                <c:pt idx="306">
                  <c:v>30.31</c:v>
                </c:pt>
                <c:pt idx="307">
                  <c:v>30.86</c:v>
                </c:pt>
                <c:pt idx="308">
                  <c:v>31.55</c:v>
                </c:pt>
                <c:pt idx="309">
                  <c:v>33.549999999999997</c:v>
                </c:pt>
                <c:pt idx="310">
                  <c:v>33.75</c:v>
                </c:pt>
                <c:pt idx="311">
                  <c:v>34.229999999999997</c:v>
                </c:pt>
                <c:pt idx="312">
                  <c:v>36.42</c:v>
                </c:pt>
                <c:pt idx="313">
                  <c:v>37.22</c:v>
                </c:pt>
                <c:pt idx="314">
                  <c:v>37.28</c:v>
                </c:pt>
                <c:pt idx="315">
                  <c:v>36.46</c:v>
                </c:pt>
                <c:pt idx="316">
                  <c:v>37.79</c:v>
                </c:pt>
                <c:pt idx="317">
                  <c:v>36.619999999999997</c:v>
                </c:pt>
                <c:pt idx="318">
                  <c:v>37.89</c:v>
                </c:pt>
                <c:pt idx="319">
                  <c:v>37.36</c:v>
                </c:pt>
                <c:pt idx="320">
                  <c:v>36.11</c:v>
                </c:pt>
                <c:pt idx="321">
                  <c:v>36.35</c:v>
                </c:pt>
                <c:pt idx="322">
                  <c:v>36.880000000000003</c:v>
                </c:pt>
                <c:pt idx="323">
                  <c:v>37.06</c:v>
                </c:pt>
                <c:pt idx="324">
                  <c:v>37.19</c:v>
                </c:pt>
                <c:pt idx="325">
                  <c:v>38.450000000000003</c:v>
                </c:pt>
                <c:pt idx="326">
                  <c:v>37.92</c:v>
                </c:pt>
                <c:pt idx="327">
                  <c:v>37.93</c:v>
                </c:pt>
                <c:pt idx="328">
                  <c:v>39.729999999999997</c:v>
                </c:pt>
                <c:pt idx="329">
                  <c:v>40.11</c:v>
                </c:pt>
                <c:pt idx="330">
                  <c:v>40.26</c:v>
                </c:pt>
                <c:pt idx="331">
                  <c:v>40.729999999999997</c:v>
                </c:pt>
                <c:pt idx="332">
                  <c:v>43</c:v>
                </c:pt>
                <c:pt idx="333">
                  <c:v>43.84</c:v>
                </c:pt>
                <c:pt idx="334">
                  <c:v>42.49</c:v>
                </c:pt>
                <c:pt idx="335">
                  <c:v>44.44</c:v>
                </c:pt>
                <c:pt idx="336">
                  <c:v>44.61</c:v>
                </c:pt>
                <c:pt idx="337">
                  <c:v>44.86</c:v>
                </c:pt>
                <c:pt idx="338">
                  <c:v>46.17</c:v>
                </c:pt>
                <c:pt idx="339">
                  <c:v>46.12</c:v>
                </c:pt>
                <c:pt idx="340">
                  <c:v>44.83</c:v>
                </c:pt>
                <c:pt idx="341">
                  <c:v>44.66</c:v>
                </c:pt>
                <c:pt idx="342">
                  <c:v>44.18</c:v>
                </c:pt>
                <c:pt idx="343">
                  <c:v>44.14</c:v>
                </c:pt>
                <c:pt idx="344">
                  <c:v>43.57</c:v>
                </c:pt>
                <c:pt idx="345">
                  <c:v>44.56</c:v>
                </c:pt>
                <c:pt idx="346">
                  <c:v>43.61</c:v>
                </c:pt>
                <c:pt idx="347">
                  <c:v>44.06</c:v>
                </c:pt>
                <c:pt idx="348">
                  <c:v>45.81</c:v>
                </c:pt>
                <c:pt idx="349">
                  <c:v>47.44</c:v>
                </c:pt>
                <c:pt idx="350">
                  <c:v>47.19</c:v>
                </c:pt>
                <c:pt idx="351">
                  <c:v>47.42</c:v>
                </c:pt>
                <c:pt idx="352">
                  <c:v>47.98</c:v>
                </c:pt>
                <c:pt idx="353">
                  <c:v>48.58</c:v>
                </c:pt>
                <c:pt idx="354">
                  <c:v>50.54</c:v>
                </c:pt>
                <c:pt idx="355">
                  <c:v>48.79</c:v>
                </c:pt>
                <c:pt idx="356">
                  <c:v>49.56</c:v>
                </c:pt>
                <c:pt idx="357">
                  <c:v>48.8</c:v>
                </c:pt>
                <c:pt idx="358">
                  <c:v>49.05</c:v>
                </c:pt>
                <c:pt idx="359">
                  <c:v>46.81</c:v>
                </c:pt>
                <c:pt idx="360">
                  <c:v>47.54</c:v>
                </c:pt>
                <c:pt idx="361">
                  <c:v>47.99</c:v>
                </c:pt>
                <c:pt idx="362">
                  <c:v>48.08</c:v>
                </c:pt>
                <c:pt idx="363">
                  <c:v>47.85</c:v>
                </c:pt>
                <c:pt idx="364">
                  <c:v>48.71</c:v>
                </c:pt>
                <c:pt idx="365">
                  <c:v>48.61</c:v>
                </c:pt>
                <c:pt idx="366">
                  <c:v>50.46</c:v>
                </c:pt>
                <c:pt idx="367">
                  <c:v>48.71</c:v>
                </c:pt>
                <c:pt idx="368">
                  <c:v>49.15</c:v>
                </c:pt>
                <c:pt idx="369">
                  <c:v>49.24</c:v>
                </c:pt>
                <c:pt idx="370">
                  <c:v>49.86</c:v>
                </c:pt>
                <c:pt idx="371">
                  <c:v>52.65</c:v>
                </c:pt>
                <c:pt idx="372">
                  <c:v>53.05</c:v>
                </c:pt>
                <c:pt idx="373">
                  <c:v>51.33</c:v>
                </c:pt>
                <c:pt idx="374">
                  <c:v>51.92</c:v>
                </c:pt>
                <c:pt idx="375">
                  <c:v>49.25</c:v>
                </c:pt>
                <c:pt idx="376">
                  <c:v>48.13</c:v>
                </c:pt>
                <c:pt idx="377">
                  <c:v>47.69</c:v>
                </c:pt>
                <c:pt idx="378">
                  <c:v>48.37</c:v>
                </c:pt>
                <c:pt idx="379">
                  <c:v>48.23</c:v>
                </c:pt>
                <c:pt idx="380">
                  <c:v>47.34</c:v>
                </c:pt>
                <c:pt idx="381">
                  <c:v>48.6</c:v>
                </c:pt>
                <c:pt idx="382">
                  <c:v>48.17</c:v>
                </c:pt>
                <c:pt idx="383">
                  <c:v>47.75</c:v>
                </c:pt>
                <c:pt idx="384">
                  <c:v>49.08</c:v>
                </c:pt>
                <c:pt idx="385">
                  <c:v>48.92</c:v>
                </c:pt>
                <c:pt idx="386">
                  <c:v>47.47</c:v>
                </c:pt>
                <c:pt idx="387">
                  <c:v>49.08</c:v>
                </c:pt>
                <c:pt idx="388">
                  <c:v>49.75</c:v>
                </c:pt>
                <c:pt idx="389">
                  <c:v>46.63</c:v>
                </c:pt>
                <c:pt idx="390">
                  <c:v>46.37</c:v>
                </c:pt>
                <c:pt idx="391">
                  <c:v>48.14</c:v>
                </c:pt>
                <c:pt idx="392">
                  <c:v>48.89</c:v>
                </c:pt>
                <c:pt idx="393">
                  <c:v>47.58</c:v>
                </c:pt>
                <c:pt idx="394">
                  <c:v>49.52</c:v>
                </c:pt>
                <c:pt idx="395">
                  <c:v>49.61</c:v>
                </c:pt>
                <c:pt idx="396">
                  <c:v>50.68</c:v>
                </c:pt>
                <c:pt idx="397">
                  <c:v>50.5</c:v>
                </c:pt>
                <c:pt idx="398">
                  <c:v>49.56</c:v>
                </c:pt>
                <c:pt idx="399">
                  <c:v>54.15</c:v>
                </c:pt>
                <c:pt idx="400">
                  <c:v>50.05</c:v>
                </c:pt>
                <c:pt idx="401">
                  <c:v>47.56</c:v>
                </c:pt>
                <c:pt idx="402">
                  <c:v>43.14</c:v>
                </c:pt>
                <c:pt idx="403">
                  <c:v>43.21</c:v>
                </c:pt>
                <c:pt idx="404">
                  <c:v>42.69</c:v>
                </c:pt>
                <c:pt idx="405">
                  <c:v>45.46</c:v>
                </c:pt>
                <c:pt idx="406">
                  <c:v>46.62</c:v>
                </c:pt>
                <c:pt idx="407">
                  <c:v>47.16</c:v>
                </c:pt>
                <c:pt idx="408">
                  <c:v>48.81</c:v>
                </c:pt>
                <c:pt idx="409">
                  <c:v>48.74</c:v>
                </c:pt>
                <c:pt idx="410">
                  <c:v>49.03</c:v>
                </c:pt>
                <c:pt idx="411">
                  <c:v>49.22</c:v>
                </c:pt>
                <c:pt idx="412">
                  <c:v>49.66</c:v>
                </c:pt>
                <c:pt idx="413">
                  <c:v>49.18</c:v>
                </c:pt>
                <c:pt idx="414">
                  <c:v>50.41</c:v>
                </c:pt>
                <c:pt idx="415">
                  <c:v>48.61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27832"/>
        <c:axId val="615828224"/>
      </c:lineChart>
      <c:lineChart>
        <c:grouping val="standard"/>
        <c:varyColors val="0"/>
        <c:ser>
          <c:idx val="1"/>
          <c:order val="1"/>
          <c:tx>
            <c:v>Commodity index (rhs)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'Graf 3+4'!$I$3:$I$418</c:f>
              <c:numCache>
                <c:formatCode>General</c:formatCode>
                <c:ptCount val="416"/>
                <c:pt idx="0">
                  <c:v>85.350800000000007</c:v>
                </c:pt>
                <c:pt idx="1">
                  <c:v>85.348799999999997</c:v>
                </c:pt>
                <c:pt idx="2">
                  <c:v>85.402299999999997</c:v>
                </c:pt>
                <c:pt idx="3">
                  <c:v>84.905900000000003</c:v>
                </c:pt>
                <c:pt idx="4">
                  <c:v>84.332300000000004</c:v>
                </c:pt>
                <c:pt idx="5">
                  <c:v>84.525800000000004</c:v>
                </c:pt>
                <c:pt idx="6">
                  <c:v>84.589299999999994</c:v>
                </c:pt>
                <c:pt idx="7">
                  <c:v>84.660399999999996</c:v>
                </c:pt>
                <c:pt idx="8">
                  <c:v>84.924099999999996</c:v>
                </c:pt>
                <c:pt idx="9">
                  <c:v>85.107299999999995</c:v>
                </c:pt>
                <c:pt idx="10">
                  <c:v>85.144900000000007</c:v>
                </c:pt>
                <c:pt idx="11">
                  <c:v>84.873099999999994</c:v>
                </c:pt>
                <c:pt idx="12">
                  <c:v>84.5137</c:v>
                </c:pt>
                <c:pt idx="13">
                  <c:v>83.902600000000007</c:v>
                </c:pt>
                <c:pt idx="14">
                  <c:v>84.369100000000003</c:v>
                </c:pt>
                <c:pt idx="15">
                  <c:v>84.267499999999998</c:v>
                </c:pt>
                <c:pt idx="16">
                  <c:v>84.578500000000005</c:v>
                </c:pt>
                <c:pt idx="17">
                  <c:v>85.290499999999994</c:v>
                </c:pt>
                <c:pt idx="18">
                  <c:v>86.351500000000001</c:v>
                </c:pt>
                <c:pt idx="19">
                  <c:v>87.110900000000001</c:v>
                </c:pt>
                <c:pt idx="20">
                  <c:v>87.189899999999994</c:v>
                </c:pt>
                <c:pt idx="21">
                  <c:v>86.986500000000007</c:v>
                </c:pt>
                <c:pt idx="22">
                  <c:v>88.323999999999998</c:v>
                </c:pt>
                <c:pt idx="23">
                  <c:v>87.738799999999998</c:v>
                </c:pt>
                <c:pt idx="24">
                  <c:v>87.099500000000006</c:v>
                </c:pt>
                <c:pt idx="25">
                  <c:v>87.483599999999996</c:v>
                </c:pt>
                <c:pt idx="26">
                  <c:v>87.372299999999996</c:v>
                </c:pt>
                <c:pt idx="27">
                  <c:v>87.551900000000003</c:v>
                </c:pt>
                <c:pt idx="28">
                  <c:v>87.864599999999996</c:v>
                </c:pt>
                <c:pt idx="29">
                  <c:v>88.110399999999998</c:v>
                </c:pt>
                <c:pt idx="30">
                  <c:v>88.480599999999995</c:v>
                </c:pt>
                <c:pt idx="31">
                  <c:v>89.013800000000003</c:v>
                </c:pt>
                <c:pt idx="32">
                  <c:v>88.625900000000001</c:v>
                </c:pt>
                <c:pt idx="33">
                  <c:v>88.637600000000006</c:v>
                </c:pt>
                <c:pt idx="34">
                  <c:v>89.357399999999998</c:v>
                </c:pt>
                <c:pt idx="35">
                  <c:v>88.527299999999997</c:v>
                </c:pt>
                <c:pt idx="36">
                  <c:v>88.4178</c:v>
                </c:pt>
                <c:pt idx="37">
                  <c:v>87.862399999999994</c:v>
                </c:pt>
                <c:pt idx="38">
                  <c:v>87.83</c:v>
                </c:pt>
                <c:pt idx="39">
                  <c:v>87.942800000000005</c:v>
                </c:pt>
                <c:pt idx="40">
                  <c:v>88.399900000000002</c:v>
                </c:pt>
                <c:pt idx="41">
                  <c:v>88.542199999999994</c:v>
                </c:pt>
                <c:pt idx="42">
                  <c:v>87.592200000000005</c:v>
                </c:pt>
                <c:pt idx="43">
                  <c:v>87.029300000000006</c:v>
                </c:pt>
                <c:pt idx="44">
                  <c:v>87.977000000000004</c:v>
                </c:pt>
                <c:pt idx="45">
                  <c:v>88.269199999999998</c:v>
                </c:pt>
                <c:pt idx="46">
                  <c:v>88.367500000000007</c:v>
                </c:pt>
                <c:pt idx="47">
                  <c:v>88.750200000000007</c:v>
                </c:pt>
                <c:pt idx="48">
                  <c:v>88.595799999999997</c:v>
                </c:pt>
                <c:pt idx="49">
                  <c:v>88.376000000000005</c:v>
                </c:pt>
                <c:pt idx="50">
                  <c:v>88.157899999999998</c:v>
                </c:pt>
                <c:pt idx="51">
                  <c:v>88.383899999999997</c:v>
                </c:pt>
                <c:pt idx="52">
                  <c:v>88.948700000000002</c:v>
                </c:pt>
                <c:pt idx="53">
                  <c:v>88.543199999999999</c:v>
                </c:pt>
                <c:pt idx="54">
                  <c:v>88.485699999999994</c:v>
                </c:pt>
                <c:pt idx="55">
                  <c:v>87.2102</c:v>
                </c:pt>
                <c:pt idx="56">
                  <c:v>86.854200000000006</c:v>
                </c:pt>
                <c:pt idx="57">
                  <c:v>86.343400000000003</c:v>
                </c:pt>
                <c:pt idx="58">
                  <c:v>87.3673</c:v>
                </c:pt>
                <c:pt idx="59">
                  <c:v>87.529399999999995</c:v>
                </c:pt>
                <c:pt idx="60">
                  <c:v>87.171800000000005</c:v>
                </c:pt>
                <c:pt idx="61">
                  <c:v>86.067300000000003</c:v>
                </c:pt>
                <c:pt idx="62">
                  <c:v>87.514399999999995</c:v>
                </c:pt>
                <c:pt idx="63">
                  <c:v>87.667199999999994</c:v>
                </c:pt>
                <c:pt idx="64">
                  <c:v>87.752399999999994</c:v>
                </c:pt>
                <c:pt idx="65">
                  <c:v>87.598699999999994</c:v>
                </c:pt>
                <c:pt idx="66">
                  <c:v>86.290999999999997</c:v>
                </c:pt>
                <c:pt idx="67">
                  <c:v>86.330500000000001</c:v>
                </c:pt>
                <c:pt idx="68">
                  <c:v>86.403199999999998</c:v>
                </c:pt>
                <c:pt idx="69">
                  <c:v>86.156899999999993</c:v>
                </c:pt>
                <c:pt idx="70">
                  <c:v>86.568700000000007</c:v>
                </c:pt>
                <c:pt idx="71">
                  <c:v>87.133300000000006</c:v>
                </c:pt>
                <c:pt idx="72">
                  <c:v>86.835599999999999</c:v>
                </c:pt>
                <c:pt idx="73">
                  <c:v>87.6267</c:v>
                </c:pt>
                <c:pt idx="74">
                  <c:v>87.922399999999996</c:v>
                </c:pt>
                <c:pt idx="75">
                  <c:v>88.176100000000005</c:v>
                </c:pt>
                <c:pt idx="76">
                  <c:v>88.143100000000004</c:v>
                </c:pt>
                <c:pt idx="77">
                  <c:v>87.566100000000006</c:v>
                </c:pt>
                <c:pt idx="78">
                  <c:v>87.4726</c:v>
                </c:pt>
                <c:pt idx="79">
                  <c:v>88.026600000000002</c:v>
                </c:pt>
                <c:pt idx="80">
                  <c:v>88.3476</c:v>
                </c:pt>
                <c:pt idx="81">
                  <c:v>87.041600000000003</c:v>
                </c:pt>
                <c:pt idx="82">
                  <c:v>86.918599999999998</c:v>
                </c:pt>
                <c:pt idx="83">
                  <c:v>86.001499999999993</c:v>
                </c:pt>
                <c:pt idx="84">
                  <c:v>84.277299999999997</c:v>
                </c:pt>
                <c:pt idx="85">
                  <c:v>86.066000000000003</c:v>
                </c:pt>
                <c:pt idx="86">
                  <c:v>85.031899999999993</c:v>
                </c:pt>
                <c:pt idx="87">
                  <c:v>85.357699999999994</c:v>
                </c:pt>
                <c:pt idx="88">
                  <c:v>85.138599999999997</c:v>
                </c:pt>
                <c:pt idx="89">
                  <c:v>84.885099999999994</c:v>
                </c:pt>
                <c:pt idx="90">
                  <c:v>83.022000000000006</c:v>
                </c:pt>
                <c:pt idx="91">
                  <c:v>82.727099999999993</c:v>
                </c:pt>
                <c:pt idx="92">
                  <c:v>82.766300000000001</c:v>
                </c:pt>
                <c:pt idx="93">
                  <c:v>83.278999999999996</c:v>
                </c:pt>
                <c:pt idx="94">
                  <c:v>82.3429</c:v>
                </c:pt>
                <c:pt idx="95">
                  <c:v>82.375399999999999</c:v>
                </c:pt>
                <c:pt idx="96">
                  <c:v>83.84</c:v>
                </c:pt>
                <c:pt idx="97">
                  <c:v>83.908699999999996</c:v>
                </c:pt>
                <c:pt idx="98">
                  <c:v>83.781400000000005</c:v>
                </c:pt>
                <c:pt idx="99">
                  <c:v>83.822400000000002</c:v>
                </c:pt>
                <c:pt idx="100">
                  <c:v>83.294300000000007</c:v>
                </c:pt>
                <c:pt idx="101">
                  <c:v>83.605400000000003</c:v>
                </c:pt>
                <c:pt idx="102">
                  <c:v>83.888900000000007</c:v>
                </c:pt>
                <c:pt idx="103">
                  <c:v>84.513300000000001</c:v>
                </c:pt>
                <c:pt idx="104">
                  <c:v>84.9011</c:v>
                </c:pt>
                <c:pt idx="105">
                  <c:v>85.911900000000003</c:v>
                </c:pt>
                <c:pt idx="106">
                  <c:v>86.216200000000001</c:v>
                </c:pt>
                <c:pt idx="107">
                  <c:v>85.540499999999994</c:v>
                </c:pt>
                <c:pt idx="108">
                  <c:v>86.0107</c:v>
                </c:pt>
                <c:pt idx="109">
                  <c:v>86.150099999999995</c:v>
                </c:pt>
                <c:pt idx="110">
                  <c:v>86.1053</c:v>
                </c:pt>
                <c:pt idx="111">
                  <c:v>86.021500000000003</c:v>
                </c:pt>
                <c:pt idx="112">
                  <c:v>86.8947</c:v>
                </c:pt>
                <c:pt idx="113">
                  <c:v>86.553899999999999</c:v>
                </c:pt>
                <c:pt idx="114">
                  <c:v>86.387699999999995</c:v>
                </c:pt>
                <c:pt idx="115">
                  <c:v>86.340500000000006</c:v>
                </c:pt>
                <c:pt idx="116">
                  <c:v>86.281300000000002</c:v>
                </c:pt>
                <c:pt idx="117">
                  <c:v>85.649000000000001</c:v>
                </c:pt>
                <c:pt idx="118">
                  <c:v>86.176400000000001</c:v>
                </c:pt>
                <c:pt idx="119">
                  <c:v>86.757099999999994</c:v>
                </c:pt>
                <c:pt idx="120">
                  <c:v>85.641400000000004</c:v>
                </c:pt>
                <c:pt idx="121">
                  <c:v>85.512900000000002</c:v>
                </c:pt>
                <c:pt idx="122">
                  <c:v>85.715900000000005</c:v>
                </c:pt>
                <c:pt idx="123">
                  <c:v>85.150800000000004</c:v>
                </c:pt>
                <c:pt idx="124">
                  <c:v>85.604600000000005</c:v>
                </c:pt>
                <c:pt idx="125">
                  <c:v>85.341999999999999</c:v>
                </c:pt>
                <c:pt idx="126">
                  <c:v>85.223799999999997</c:v>
                </c:pt>
                <c:pt idx="127">
                  <c:v>85.142399999999995</c:v>
                </c:pt>
                <c:pt idx="128">
                  <c:v>84.143500000000003</c:v>
                </c:pt>
                <c:pt idx="129">
                  <c:v>84.861500000000007</c:v>
                </c:pt>
                <c:pt idx="130">
                  <c:v>84.322100000000006</c:v>
                </c:pt>
                <c:pt idx="131">
                  <c:v>85.508399999999995</c:v>
                </c:pt>
                <c:pt idx="132">
                  <c:v>84.908100000000005</c:v>
                </c:pt>
                <c:pt idx="133">
                  <c:v>84.287599999999998</c:v>
                </c:pt>
                <c:pt idx="134">
                  <c:v>83.606300000000005</c:v>
                </c:pt>
                <c:pt idx="135">
                  <c:v>83.235699999999994</c:v>
                </c:pt>
                <c:pt idx="136">
                  <c:v>83.082899999999995</c:v>
                </c:pt>
                <c:pt idx="137">
                  <c:v>82.672200000000004</c:v>
                </c:pt>
                <c:pt idx="138">
                  <c:v>83.019599999999997</c:v>
                </c:pt>
                <c:pt idx="139">
                  <c:v>84.083399999999997</c:v>
                </c:pt>
                <c:pt idx="140">
                  <c:v>84.024199999999993</c:v>
                </c:pt>
                <c:pt idx="141">
                  <c:v>85.147800000000004</c:v>
                </c:pt>
                <c:pt idx="142">
                  <c:v>83.930400000000006</c:v>
                </c:pt>
                <c:pt idx="143">
                  <c:v>83.386499999999998</c:v>
                </c:pt>
                <c:pt idx="144">
                  <c:v>82.988900000000001</c:v>
                </c:pt>
                <c:pt idx="145">
                  <c:v>82.100700000000003</c:v>
                </c:pt>
                <c:pt idx="146">
                  <c:v>82.7727</c:v>
                </c:pt>
                <c:pt idx="147">
                  <c:v>83.655100000000004</c:v>
                </c:pt>
                <c:pt idx="148">
                  <c:v>84.459299999999999</c:v>
                </c:pt>
                <c:pt idx="149">
                  <c:v>84.9846</c:v>
                </c:pt>
                <c:pt idx="150">
                  <c:v>85.0535</c:v>
                </c:pt>
                <c:pt idx="151">
                  <c:v>85.069800000000001</c:v>
                </c:pt>
                <c:pt idx="152">
                  <c:v>86.073400000000007</c:v>
                </c:pt>
                <c:pt idx="153">
                  <c:v>85.670400000000001</c:v>
                </c:pt>
                <c:pt idx="154">
                  <c:v>86.236400000000003</c:v>
                </c:pt>
                <c:pt idx="155">
                  <c:v>86.740700000000004</c:v>
                </c:pt>
                <c:pt idx="156">
                  <c:v>85.871899999999997</c:v>
                </c:pt>
                <c:pt idx="157">
                  <c:v>85.722700000000003</c:v>
                </c:pt>
                <c:pt idx="158">
                  <c:v>85.238500000000002</c:v>
                </c:pt>
                <c:pt idx="159">
                  <c:v>84.055499999999995</c:v>
                </c:pt>
                <c:pt idx="160">
                  <c:v>83.974299999999999</c:v>
                </c:pt>
                <c:pt idx="161">
                  <c:v>83.229299999999995</c:v>
                </c:pt>
                <c:pt idx="162">
                  <c:v>83.752099999999999</c:v>
                </c:pt>
                <c:pt idx="163">
                  <c:v>84.3172</c:v>
                </c:pt>
                <c:pt idx="164">
                  <c:v>83.854299999999995</c:v>
                </c:pt>
                <c:pt idx="165">
                  <c:v>83.907799999999995</c:v>
                </c:pt>
                <c:pt idx="166">
                  <c:v>83.547200000000004</c:v>
                </c:pt>
                <c:pt idx="167">
                  <c:v>82.729900000000001</c:v>
                </c:pt>
                <c:pt idx="168">
                  <c:v>82.897400000000005</c:v>
                </c:pt>
                <c:pt idx="169">
                  <c:v>84.280900000000003</c:v>
                </c:pt>
                <c:pt idx="170">
                  <c:v>83.398399999999995</c:v>
                </c:pt>
                <c:pt idx="171">
                  <c:v>83.126999999999995</c:v>
                </c:pt>
                <c:pt idx="172">
                  <c:v>83.721500000000006</c:v>
                </c:pt>
                <c:pt idx="173">
                  <c:v>83.923599999999993</c:v>
                </c:pt>
                <c:pt idx="174">
                  <c:v>84.635199999999998</c:v>
                </c:pt>
                <c:pt idx="175">
                  <c:v>84.951999999999998</c:v>
                </c:pt>
                <c:pt idx="176">
                  <c:v>85.156300000000002</c:v>
                </c:pt>
                <c:pt idx="177">
                  <c:v>85.748400000000004</c:v>
                </c:pt>
                <c:pt idx="178">
                  <c:v>86.526600000000002</c:v>
                </c:pt>
                <c:pt idx="179">
                  <c:v>86.698400000000007</c:v>
                </c:pt>
                <c:pt idx="180">
                  <c:v>87.119600000000005</c:v>
                </c:pt>
                <c:pt idx="181">
                  <c:v>86.976699999999994</c:v>
                </c:pt>
                <c:pt idx="182">
                  <c:v>87.488900000000001</c:v>
                </c:pt>
                <c:pt idx="183">
                  <c:v>86.081500000000005</c:v>
                </c:pt>
                <c:pt idx="184">
                  <c:v>86.402299999999997</c:v>
                </c:pt>
                <c:pt idx="185">
                  <c:v>85.5334</c:v>
                </c:pt>
                <c:pt idx="186">
                  <c:v>87.527199999999993</c:v>
                </c:pt>
                <c:pt idx="187">
                  <c:v>87.428200000000004</c:v>
                </c:pt>
                <c:pt idx="188">
                  <c:v>89.678799999999995</c:v>
                </c:pt>
                <c:pt idx="189">
                  <c:v>88.842299999999994</c:v>
                </c:pt>
                <c:pt idx="190">
                  <c:v>89.298400000000001</c:v>
                </c:pt>
                <c:pt idx="191">
                  <c:v>88.301599999999993</c:v>
                </c:pt>
                <c:pt idx="192">
                  <c:v>86.655799999999999</c:v>
                </c:pt>
                <c:pt idx="193">
                  <c:v>86.955699999999993</c:v>
                </c:pt>
                <c:pt idx="194">
                  <c:v>88.345399999999998</c:v>
                </c:pt>
                <c:pt idx="195">
                  <c:v>88.018900000000002</c:v>
                </c:pt>
                <c:pt idx="196">
                  <c:v>88.583299999999994</c:v>
                </c:pt>
                <c:pt idx="197">
                  <c:v>89.453800000000001</c:v>
                </c:pt>
                <c:pt idx="198">
                  <c:v>88.721199999999996</c:v>
                </c:pt>
                <c:pt idx="199">
                  <c:v>87.233900000000006</c:v>
                </c:pt>
                <c:pt idx="200">
                  <c:v>88.469200000000001</c:v>
                </c:pt>
                <c:pt idx="201">
                  <c:v>88.773099999999999</c:v>
                </c:pt>
                <c:pt idx="202">
                  <c:v>89.083699999999993</c:v>
                </c:pt>
                <c:pt idx="203">
                  <c:v>88.942700000000002</c:v>
                </c:pt>
                <c:pt idx="204">
                  <c:v>89.877200000000002</c:v>
                </c:pt>
                <c:pt idx="205">
                  <c:v>89.936800000000005</c:v>
                </c:pt>
                <c:pt idx="206">
                  <c:v>88.288600000000002</c:v>
                </c:pt>
                <c:pt idx="207">
                  <c:v>88.113699999999994</c:v>
                </c:pt>
                <c:pt idx="208">
                  <c:v>87.141099999999994</c:v>
                </c:pt>
                <c:pt idx="209">
                  <c:v>86.706199999999995</c:v>
                </c:pt>
                <c:pt idx="210">
                  <c:v>85.908500000000004</c:v>
                </c:pt>
                <c:pt idx="211">
                  <c:v>85.338300000000004</c:v>
                </c:pt>
                <c:pt idx="212">
                  <c:v>85.467500000000001</c:v>
                </c:pt>
                <c:pt idx="213">
                  <c:v>85.353999999999999</c:v>
                </c:pt>
                <c:pt idx="214">
                  <c:v>85.188900000000004</c:v>
                </c:pt>
                <c:pt idx="215">
                  <c:v>84.173299999999998</c:v>
                </c:pt>
                <c:pt idx="216">
                  <c:v>84.376300000000001</c:v>
                </c:pt>
                <c:pt idx="217">
                  <c:v>84.866600000000005</c:v>
                </c:pt>
                <c:pt idx="218">
                  <c:v>84.683199999999999</c:v>
                </c:pt>
                <c:pt idx="219">
                  <c:v>85.3994</c:v>
                </c:pt>
                <c:pt idx="220">
                  <c:v>85.716700000000003</c:v>
                </c:pt>
                <c:pt idx="221">
                  <c:v>85.140299999999996</c:v>
                </c:pt>
                <c:pt idx="222">
                  <c:v>84.466300000000004</c:v>
                </c:pt>
                <c:pt idx="223">
                  <c:v>84.750399999999999</c:v>
                </c:pt>
                <c:pt idx="224">
                  <c:v>84.713800000000006</c:v>
                </c:pt>
                <c:pt idx="225">
                  <c:v>83.360600000000005</c:v>
                </c:pt>
                <c:pt idx="226">
                  <c:v>81.757599999999996</c:v>
                </c:pt>
                <c:pt idx="227">
                  <c:v>83.393000000000001</c:v>
                </c:pt>
                <c:pt idx="228">
                  <c:v>82.706599999999995</c:v>
                </c:pt>
                <c:pt idx="229">
                  <c:v>83.353700000000003</c:v>
                </c:pt>
                <c:pt idx="230">
                  <c:v>83.577500000000001</c:v>
                </c:pt>
                <c:pt idx="231">
                  <c:v>84.72</c:v>
                </c:pt>
                <c:pt idx="232">
                  <c:v>85.520499999999998</c:v>
                </c:pt>
                <c:pt idx="233">
                  <c:v>84.837699999999998</c:v>
                </c:pt>
                <c:pt idx="234">
                  <c:v>84.308999999999997</c:v>
                </c:pt>
                <c:pt idx="235">
                  <c:v>83.838700000000003</c:v>
                </c:pt>
                <c:pt idx="236">
                  <c:v>82.880600000000001</c:v>
                </c:pt>
                <c:pt idx="237">
                  <c:v>83.053700000000006</c:v>
                </c:pt>
                <c:pt idx="238">
                  <c:v>83.587999999999994</c:v>
                </c:pt>
                <c:pt idx="239">
                  <c:v>84.177300000000002</c:v>
                </c:pt>
                <c:pt idx="240">
                  <c:v>82.654300000000006</c:v>
                </c:pt>
                <c:pt idx="241">
                  <c:v>80.678200000000004</c:v>
                </c:pt>
                <c:pt idx="242">
                  <c:v>80.392700000000005</c:v>
                </c:pt>
                <c:pt idx="243">
                  <c:v>80.646199999999993</c:v>
                </c:pt>
                <c:pt idx="244">
                  <c:v>81.244600000000005</c:v>
                </c:pt>
                <c:pt idx="245">
                  <c:v>80.891099999999994</c:v>
                </c:pt>
                <c:pt idx="246">
                  <c:v>79.282499999999999</c:v>
                </c:pt>
                <c:pt idx="247">
                  <c:v>79.028800000000004</c:v>
                </c:pt>
                <c:pt idx="248">
                  <c:v>77.451899999999995</c:v>
                </c:pt>
                <c:pt idx="249">
                  <c:v>77.648099999999999</c:v>
                </c:pt>
                <c:pt idx="250">
                  <c:v>76.972499999999997</c:v>
                </c:pt>
                <c:pt idx="251">
                  <c:v>77.181700000000006</c:v>
                </c:pt>
                <c:pt idx="252">
                  <c:v>77.941699999999997</c:v>
                </c:pt>
                <c:pt idx="253">
                  <c:v>78.827200000000005</c:v>
                </c:pt>
                <c:pt idx="254">
                  <c:v>78.929299999999998</c:v>
                </c:pt>
                <c:pt idx="255">
                  <c:v>79.307199999999995</c:v>
                </c:pt>
                <c:pt idx="256">
                  <c:v>79.483500000000006</c:v>
                </c:pt>
                <c:pt idx="257">
                  <c:v>79.2517</c:v>
                </c:pt>
                <c:pt idx="258">
                  <c:v>79.575699999999998</c:v>
                </c:pt>
                <c:pt idx="259">
                  <c:v>81.230099999999993</c:v>
                </c:pt>
                <c:pt idx="260">
                  <c:v>80.788499999999999</c:v>
                </c:pt>
                <c:pt idx="261">
                  <c:v>80.755700000000004</c:v>
                </c:pt>
                <c:pt idx="262">
                  <c:v>81.288799999999995</c:v>
                </c:pt>
                <c:pt idx="263">
                  <c:v>79.599900000000005</c:v>
                </c:pt>
                <c:pt idx="264">
                  <c:v>78.820700000000002</c:v>
                </c:pt>
                <c:pt idx="265">
                  <c:v>79.429500000000004</c:v>
                </c:pt>
                <c:pt idx="266">
                  <c:v>79.947100000000006</c:v>
                </c:pt>
                <c:pt idx="267">
                  <c:v>79.379599999999996</c:v>
                </c:pt>
                <c:pt idx="268">
                  <c:v>79.444500000000005</c:v>
                </c:pt>
                <c:pt idx="269">
                  <c:v>78.424099999999996</c:v>
                </c:pt>
                <c:pt idx="270">
                  <c:v>79.296000000000006</c:v>
                </c:pt>
                <c:pt idx="271">
                  <c:v>78.382800000000003</c:v>
                </c:pt>
                <c:pt idx="272">
                  <c:v>76.869200000000006</c:v>
                </c:pt>
                <c:pt idx="273">
                  <c:v>76.460599999999999</c:v>
                </c:pt>
                <c:pt idx="274">
                  <c:v>76.084699999999998</c:v>
                </c:pt>
                <c:pt idx="275">
                  <c:v>75.946299999999994</c:v>
                </c:pt>
                <c:pt idx="276">
                  <c:v>75.461699999999993</c:v>
                </c:pt>
                <c:pt idx="277">
                  <c:v>75.744299999999996</c:v>
                </c:pt>
                <c:pt idx="278">
                  <c:v>75.774699999999996</c:v>
                </c:pt>
                <c:pt idx="279">
                  <c:v>75.175299999999993</c:v>
                </c:pt>
                <c:pt idx="280">
                  <c:v>75.973200000000006</c:v>
                </c:pt>
                <c:pt idx="281">
                  <c:v>75.105800000000002</c:v>
                </c:pt>
                <c:pt idx="282">
                  <c:v>75.745500000000007</c:v>
                </c:pt>
                <c:pt idx="283">
                  <c:v>76.028800000000004</c:v>
                </c:pt>
                <c:pt idx="284">
                  <c:v>74.7166</c:v>
                </c:pt>
                <c:pt idx="285">
                  <c:v>75.438900000000004</c:v>
                </c:pt>
                <c:pt idx="286">
                  <c:v>73.957800000000006</c:v>
                </c:pt>
                <c:pt idx="287">
                  <c:v>73.915999999999997</c:v>
                </c:pt>
                <c:pt idx="288">
                  <c:v>74.002799999999993</c:v>
                </c:pt>
                <c:pt idx="289">
                  <c:v>75.504800000000003</c:v>
                </c:pt>
                <c:pt idx="290">
                  <c:v>75.596500000000006</c:v>
                </c:pt>
                <c:pt idx="291">
                  <c:v>76.141900000000007</c:v>
                </c:pt>
                <c:pt idx="292">
                  <c:v>76.271799999999999</c:v>
                </c:pt>
                <c:pt idx="293">
                  <c:v>74.849999999999994</c:v>
                </c:pt>
                <c:pt idx="294">
                  <c:v>75.952600000000004</c:v>
                </c:pt>
                <c:pt idx="295">
                  <c:v>77.223399999999998</c:v>
                </c:pt>
                <c:pt idx="296">
                  <c:v>76.104900000000001</c:v>
                </c:pt>
                <c:pt idx="297">
                  <c:v>76.119799999999998</c:v>
                </c:pt>
                <c:pt idx="298">
                  <c:v>75.498999999999995</c:v>
                </c:pt>
                <c:pt idx="299">
                  <c:v>74.495900000000006</c:v>
                </c:pt>
                <c:pt idx="300">
                  <c:v>75.235500000000002</c:v>
                </c:pt>
                <c:pt idx="301">
                  <c:v>73.791499999999999</c:v>
                </c:pt>
                <c:pt idx="302">
                  <c:v>72.875900000000001</c:v>
                </c:pt>
                <c:pt idx="303">
                  <c:v>73.609800000000007</c:v>
                </c:pt>
                <c:pt idx="304">
                  <c:v>73.487700000000004</c:v>
                </c:pt>
                <c:pt idx="305">
                  <c:v>74.559399999999997</c:v>
                </c:pt>
                <c:pt idx="306">
                  <c:v>74.63</c:v>
                </c:pt>
                <c:pt idx="307">
                  <c:v>74.433800000000005</c:v>
                </c:pt>
                <c:pt idx="308">
                  <c:v>75.122100000000003</c:v>
                </c:pt>
                <c:pt idx="309">
                  <c:v>76.726500000000001</c:v>
                </c:pt>
                <c:pt idx="310">
                  <c:v>76.6828</c:v>
                </c:pt>
                <c:pt idx="311">
                  <c:v>76.641400000000004</c:v>
                </c:pt>
                <c:pt idx="312">
                  <c:v>77.662800000000004</c:v>
                </c:pt>
                <c:pt idx="313">
                  <c:v>77.9054</c:v>
                </c:pt>
                <c:pt idx="314">
                  <c:v>78.558800000000005</c:v>
                </c:pt>
                <c:pt idx="315">
                  <c:v>78.088099999999997</c:v>
                </c:pt>
                <c:pt idx="316">
                  <c:v>79.041799999999995</c:v>
                </c:pt>
                <c:pt idx="317">
                  <c:v>77.879000000000005</c:v>
                </c:pt>
                <c:pt idx="318">
                  <c:v>78.485100000000003</c:v>
                </c:pt>
                <c:pt idx="319">
                  <c:v>78.105500000000006</c:v>
                </c:pt>
                <c:pt idx="320">
                  <c:v>77.168999999999997</c:v>
                </c:pt>
                <c:pt idx="321">
                  <c:v>77.698499999999996</c:v>
                </c:pt>
                <c:pt idx="322">
                  <c:v>77.452299999999994</c:v>
                </c:pt>
                <c:pt idx="323">
                  <c:v>76.604500000000002</c:v>
                </c:pt>
                <c:pt idx="324">
                  <c:v>77.080699999999993</c:v>
                </c:pt>
                <c:pt idx="325">
                  <c:v>77.578100000000006</c:v>
                </c:pt>
                <c:pt idx="326">
                  <c:v>77.960899999999995</c:v>
                </c:pt>
                <c:pt idx="327">
                  <c:v>78.422399999999996</c:v>
                </c:pt>
                <c:pt idx="328">
                  <c:v>79.154399999999995</c:v>
                </c:pt>
                <c:pt idx="329">
                  <c:v>79.246600000000001</c:v>
                </c:pt>
                <c:pt idx="330">
                  <c:v>79.168999999999997</c:v>
                </c:pt>
                <c:pt idx="331">
                  <c:v>79.506399999999999</c:v>
                </c:pt>
                <c:pt idx="332">
                  <c:v>81.701599999999999</c:v>
                </c:pt>
                <c:pt idx="333">
                  <c:v>81.297799999999995</c:v>
                </c:pt>
                <c:pt idx="334">
                  <c:v>80.370800000000003</c:v>
                </c:pt>
                <c:pt idx="335">
                  <c:v>81.753299999999996</c:v>
                </c:pt>
                <c:pt idx="336">
                  <c:v>81.078100000000006</c:v>
                </c:pt>
                <c:pt idx="337">
                  <c:v>81.096199999999996</c:v>
                </c:pt>
                <c:pt idx="338">
                  <c:v>82.2684</c:v>
                </c:pt>
                <c:pt idx="339">
                  <c:v>82.144599999999997</c:v>
                </c:pt>
                <c:pt idx="340">
                  <c:v>81.499899999999997</c:v>
                </c:pt>
                <c:pt idx="341">
                  <c:v>81.423400000000001</c:v>
                </c:pt>
                <c:pt idx="342">
                  <c:v>81.741200000000006</c:v>
                </c:pt>
                <c:pt idx="343">
                  <c:v>81.5672</c:v>
                </c:pt>
                <c:pt idx="344">
                  <c:v>81.742199999999997</c:v>
                </c:pt>
                <c:pt idx="345">
                  <c:v>82.460099999999997</c:v>
                </c:pt>
                <c:pt idx="346">
                  <c:v>82.433199999999999</c:v>
                </c:pt>
                <c:pt idx="347">
                  <c:v>82.869100000000003</c:v>
                </c:pt>
                <c:pt idx="348">
                  <c:v>83.617999999999995</c:v>
                </c:pt>
                <c:pt idx="349">
                  <c:v>84.044600000000003</c:v>
                </c:pt>
                <c:pt idx="350">
                  <c:v>84.236900000000006</c:v>
                </c:pt>
                <c:pt idx="351">
                  <c:v>85.2346</c:v>
                </c:pt>
                <c:pt idx="352">
                  <c:v>85.825999999999993</c:v>
                </c:pt>
                <c:pt idx="353">
                  <c:v>86.514799999999994</c:v>
                </c:pt>
                <c:pt idx="354">
                  <c:v>87.692999999999998</c:v>
                </c:pt>
                <c:pt idx="355">
                  <c:v>86.868399999999994</c:v>
                </c:pt>
                <c:pt idx="356">
                  <c:v>87.428899999999999</c:v>
                </c:pt>
                <c:pt idx="357">
                  <c:v>86.867199999999997</c:v>
                </c:pt>
                <c:pt idx="358">
                  <c:v>87.641999999999996</c:v>
                </c:pt>
                <c:pt idx="359">
                  <c:v>86.623400000000004</c:v>
                </c:pt>
                <c:pt idx="360">
                  <c:v>86.961399999999998</c:v>
                </c:pt>
                <c:pt idx="361">
                  <c:v>87.446399999999997</c:v>
                </c:pt>
                <c:pt idx="362">
                  <c:v>88.174800000000005</c:v>
                </c:pt>
                <c:pt idx="363">
                  <c:v>88.184299999999993</c:v>
                </c:pt>
                <c:pt idx="364">
                  <c:v>88.828999999999994</c:v>
                </c:pt>
                <c:pt idx="365">
                  <c:v>88.519199999999998</c:v>
                </c:pt>
                <c:pt idx="366">
                  <c:v>89.783500000000004</c:v>
                </c:pt>
                <c:pt idx="367">
                  <c:v>89.838999999999999</c:v>
                </c:pt>
                <c:pt idx="368">
                  <c:v>90.137600000000006</c:v>
                </c:pt>
                <c:pt idx="369">
                  <c:v>89.981899999999996</c:v>
                </c:pt>
                <c:pt idx="370">
                  <c:v>90.052400000000006</c:v>
                </c:pt>
                <c:pt idx="371">
                  <c:v>91.008399999999995</c:v>
                </c:pt>
                <c:pt idx="372">
                  <c:v>90.345200000000006</c:v>
                </c:pt>
                <c:pt idx="373">
                  <c:v>90.108900000000006</c:v>
                </c:pt>
                <c:pt idx="374">
                  <c:v>90.267499999999998</c:v>
                </c:pt>
                <c:pt idx="375">
                  <c:v>88.800700000000006</c:v>
                </c:pt>
                <c:pt idx="376">
                  <c:v>87.891400000000004</c:v>
                </c:pt>
                <c:pt idx="377">
                  <c:v>87.130499999999998</c:v>
                </c:pt>
                <c:pt idx="378">
                  <c:v>87.821399999999997</c:v>
                </c:pt>
                <c:pt idx="379">
                  <c:v>87.561800000000005</c:v>
                </c:pt>
                <c:pt idx="380">
                  <c:v>87.334400000000002</c:v>
                </c:pt>
                <c:pt idx="381">
                  <c:v>88.494200000000006</c:v>
                </c:pt>
                <c:pt idx="382">
                  <c:v>87.870400000000004</c:v>
                </c:pt>
                <c:pt idx="383">
                  <c:v>87.186000000000007</c:v>
                </c:pt>
                <c:pt idx="384">
                  <c:v>87.669300000000007</c:v>
                </c:pt>
                <c:pt idx="385">
                  <c:v>88.561499999999995</c:v>
                </c:pt>
                <c:pt idx="386">
                  <c:v>87.727199999999996</c:v>
                </c:pt>
                <c:pt idx="387">
                  <c:v>89.031400000000005</c:v>
                </c:pt>
                <c:pt idx="388">
                  <c:v>89.4589</c:v>
                </c:pt>
                <c:pt idx="389">
                  <c:v>88.570999999999998</c:v>
                </c:pt>
                <c:pt idx="390">
                  <c:v>88.572100000000006</c:v>
                </c:pt>
                <c:pt idx="391">
                  <c:v>88.9268</c:v>
                </c:pt>
                <c:pt idx="392">
                  <c:v>89.146199999999993</c:v>
                </c:pt>
                <c:pt idx="393">
                  <c:v>88.220100000000002</c:v>
                </c:pt>
                <c:pt idx="394">
                  <c:v>89.350300000000004</c:v>
                </c:pt>
                <c:pt idx="395">
                  <c:v>88.489400000000003</c:v>
                </c:pt>
                <c:pt idx="396">
                  <c:v>89.419499999999999</c:v>
                </c:pt>
                <c:pt idx="397">
                  <c:v>88.928100000000001</c:v>
                </c:pt>
                <c:pt idx="398">
                  <c:v>88.738</c:v>
                </c:pt>
                <c:pt idx="399">
                  <c:v>90.9328</c:v>
                </c:pt>
                <c:pt idx="400">
                  <c:v>89.357900000000001</c:v>
                </c:pt>
                <c:pt idx="401">
                  <c:v>87.721599999999995</c:v>
                </c:pt>
                <c:pt idx="402">
                  <c:v>85.138300000000001</c:v>
                </c:pt>
                <c:pt idx="403">
                  <c:v>86.275199999999998</c:v>
                </c:pt>
                <c:pt idx="404">
                  <c:v>85.853099999999998</c:v>
                </c:pt>
                <c:pt idx="405">
                  <c:v>87.8048</c:v>
                </c:pt>
                <c:pt idx="406">
                  <c:v>89.229699999999994</c:v>
                </c:pt>
                <c:pt idx="407">
                  <c:v>88.526399999999995</c:v>
                </c:pt>
                <c:pt idx="408">
                  <c:v>89.293800000000005</c:v>
                </c:pt>
                <c:pt idx="409">
                  <c:v>89.814700000000002</c:v>
                </c:pt>
                <c:pt idx="410">
                  <c:v>90.3553</c:v>
                </c:pt>
                <c:pt idx="411">
                  <c:v>90.453800000000001</c:v>
                </c:pt>
                <c:pt idx="412">
                  <c:v>90.831500000000005</c:v>
                </c:pt>
                <c:pt idx="413">
                  <c:v>91.117800000000003</c:v>
                </c:pt>
                <c:pt idx="414">
                  <c:v>92.622699999999995</c:v>
                </c:pt>
                <c:pt idx="415">
                  <c:v>90.479900000000001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187104"/>
        <c:axId val="551186712"/>
      </c:lineChart>
      <c:dateAx>
        <c:axId val="6158278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5828224"/>
        <c:crosses val="autoZero"/>
        <c:auto val="1"/>
        <c:lblOffset val="100"/>
        <c:baseTimeUnit val="days"/>
      </c:dateAx>
      <c:valAx>
        <c:axId val="615828224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5827832"/>
        <c:crosses val="autoZero"/>
        <c:crossBetween val="between"/>
      </c:valAx>
      <c:valAx>
        <c:axId val="551186712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51187104"/>
        <c:crosses val="max"/>
        <c:crossBetween val="between"/>
        <c:majorUnit val="5"/>
      </c:valAx>
      <c:catAx>
        <c:axId val="551187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51186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518398548102713"/>
          <c:y val="0.15060240963855423"/>
          <c:w val="0.53331265758082214"/>
          <c:h val="0.1713177117920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03286166719919E-2"/>
          <c:y val="3.884610226641378E-2"/>
          <c:w val="0.87178579421758329"/>
          <c:h val="0.82002413931835161"/>
        </c:manualLayout>
      </c:layout>
      <c:lineChart>
        <c:grouping val="standard"/>
        <c:varyColors val="0"/>
        <c:ser>
          <c:idx val="0"/>
          <c:order val="0"/>
          <c:tx>
            <c:strRef>
              <c:f>'Graf 3+4'!$M$2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3+4'!$L$3:$L$567</c:f>
              <c:numCache>
                <c:formatCode>m/d/yyyy</c:formatCode>
                <c:ptCount val="565"/>
                <c:pt idx="0">
                  <c:v>42824</c:v>
                </c:pt>
                <c:pt idx="1">
                  <c:v>42823</c:v>
                </c:pt>
                <c:pt idx="2">
                  <c:v>42822</c:v>
                </c:pt>
                <c:pt idx="3">
                  <c:v>42821</c:v>
                </c:pt>
                <c:pt idx="4">
                  <c:v>42818</c:v>
                </c:pt>
                <c:pt idx="5">
                  <c:v>42817</c:v>
                </c:pt>
                <c:pt idx="6">
                  <c:v>42816</c:v>
                </c:pt>
                <c:pt idx="7">
                  <c:v>42815</c:v>
                </c:pt>
                <c:pt idx="8">
                  <c:v>42814</c:v>
                </c:pt>
                <c:pt idx="9">
                  <c:v>42811</c:v>
                </c:pt>
                <c:pt idx="10">
                  <c:v>42810</c:v>
                </c:pt>
                <c:pt idx="11">
                  <c:v>42809</c:v>
                </c:pt>
                <c:pt idx="12">
                  <c:v>42808</c:v>
                </c:pt>
                <c:pt idx="13">
                  <c:v>42807</c:v>
                </c:pt>
                <c:pt idx="14">
                  <c:v>42804</c:v>
                </c:pt>
                <c:pt idx="15">
                  <c:v>42803</c:v>
                </c:pt>
                <c:pt idx="16">
                  <c:v>42802</c:v>
                </c:pt>
                <c:pt idx="17">
                  <c:v>42801</c:v>
                </c:pt>
                <c:pt idx="18">
                  <c:v>42800</c:v>
                </c:pt>
                <c:pt idx="19">
                  <c:v>42797</c:v>
                </c:pt>
                <c:pt idx="20">
                  <c:v>42796</c:v>
                </c:pt>
                <c:pt idx="21">
                  <c:v>42795</c:v>
                </c:pt>
                <c:pt idx="22">
                  <c:v>42794</c:v>
                </c:pt>
                <c:pt idx="23">
                  <c:v>42793</c:v>
                </c:pt>
                <c:pt idx="24">
                  <c:v>42790</c:v>
                </c:pt>
                <c:pt idx="25">
                  <c:v>42789</c:v>
                </c:pt>
                <c:pt idx="26">
                  <c:v>42788</c:v>
                </c:pt>
                <c:pt idx="27">
                  <c:v>42787</c:v>
                </c:pt>
                <c:pt idx="28">
                  <c:v>42783</c:v>
                </c:pt>
                <c:pt idx="29">
                  <c:v>42782</c:v>
                </c:pt>
                <c:pt idx="30">
                  <c:v>42781</c:v>
                </c:pt>
                <c:pt idx="31">
                  <c:v>42780</c:v>
                </c:pt>
                <c:pt idx="32">
                  <c:v>42779</c:v>
                </c:pt>
                <c:pt idx="33">
                  <c:v>42776</c:v>
                </c:pt>
                <c:pt idx="34">
                  <c:v>42775</c:v>
                </c:pt>
                <c:pt idx="35">
                  <c:v>42774</c:v>
                </c:pt>
                <c:pt idx="36">
                  <c:v>42773</c:v>
                </c:pt>
                <c:pt idx="37">
                  <c:v>42772</c:v>
                </c:pt>
                <c:pt idx="38">
                  <c:v>42769</c:v>
                </c:pt>
                <c:pt idx="39">
                  <c:v>42768</c:v>
                </c:pt>
                <c:pt idx="40">
                  <c:v>42767</c:v>
                </c:pt>
                <c:pt idx="41">
                  <c:v>42766</c:v>
                </c:pt>
                <c:pt idx="42">
                  <c:v>42765</c:v>
                </c:pt>
                <c:pt idx="43">
                  <c:v>42762</c:v>
                </c:pt>
                <c:pt idx="44">
                  <c:v>42761</c:v>
                </c:pt>
                <c:pt idx="45">
                  <c:v>42760</c:v>
                </c:pt>
                <c:pt idx="46">
                  <c:v>42759</c:v>
                </c:pt>
                <c:pt idx="47">
                  <c:v>42758</c:v>
                </c:pt>
                <c:pt idx="48">
                  <c:v>42755</c:v>
                </c:pt>
                <c:pt idx="49">
                  <c:v>42754</c:v>
                </c:pt>
                <c:pt idx="50">
                  <c:v>42753</c:v>
                </c:pt>
                <c:pt idx="51">
                  <c:v>42752</c:v>
                </c:pt>
                <c:pt idx="52">
                  <c:v>42748</c:v>
                </c:pt>
                <c:pt idx="53">
                  <c:v>42747</c:v>
                </c:pt>
                <c:pt idx="54">
                  <c:v>42746</c:v>
                </c:pt>
                <c:pt idx="55">
                  <c:v>42745</c:v>
                </c:pt>
                <c:pt idx="56">
                  <c:v>42744</c:v>
                </c:pt>
                <c:pt idx="57">
                  <c:v>42741</c:v>
                </c:pt>
                <c:pt idx="58">
                  <c:v>42740</c:v>
                </c:pt>
                <c:pt idx="59">
                  <c:v>42739</c:v>
                </c:pt>
                <c:pt idx="60">
                  <c:v>42738</c:v>
                </c:pt>
                <c:pt idx="61">
                  <c:v>42734</c:v>
                </c:pt>
                <c:pt idx="62">
                  <c:v>42733</c:v>
                </c:pt>
                <c:pt idx="63">
                  <c:v>42732</c:v>
                </c:pt>
                <c:pt idx="64">
                  <c:v>42731</c:v>
                </c:pt>
                <c:pt idx="65">
                  <c:v>42727</c:v>
                </c:pt>
                <c:pt idx="66">
                  <c:v>42726</c:v>
                </c:pt>
                <c:pt idx="67">
                  <c:v>42725</c:v>
                </c:pt>
                <c:pt idx="68">
                  <c:v>42724</c:v>
                </c:pt>
                <c:pt idx="69">
                  <c:v>42723</c:v>
                </c:pt>
                <c:pt idx="70">
                  <c:v>42720</c:v>
                </c:pt>
                <c:pt idx="71">
                  <c:v>42719</c:v>
                </c:pt>
                <c:pt idx="72">
                  <c:v>42718</c:v>
                </c:pt>
                <c:pt idx="73">
                  <c:v>42717</c:v>
                </c:pt>
                <c:pt idx="74">
                  <c:v>42716</c:v>
                </c:pt>
                <c:pt idx="75">
                  <c:v>42713</c:v>
                </c:pt>
                <c:pt idx="76">
                  <c:v>42712</c:v>
                </c:pt>
                <c:pt idx="77">
                  <c:v>42711</c:v>
                </c:pt>
                <c:pt idx="78">
                  <c:v>42710</c:v>
                </c:pt>
                <c:pt idx="79">
                  <c:v>42709</c:v>
                </c:pt>
                <c:pt idx="80">
                  <c:v>42706</c:v>
                </c:pt>
                <c:pt idx="81">
                  <c:v>42705</c:v>
                </c:pt>
                <c:pt idx="82">
                  <c:v>42704</c:v>
                </c:pt>
                <c:pt idx="83">
                  <c:v>42703</c:v>
                </c:pt>
                <c:pt idx="84">
                  <c:v>42702</c:v>
                </c:pt>
                <c:pt idx="85">
                  <c:v>42699</c:v>
                </c:pt>
                <c:pt idx="86">
                  <c:v>42697</c:v>
                </c:pt>
                <c:pt idx="87">
                  <c:v>42696</c:v>
                </c:pt>
                <c:pt idx="88">
                  <c:v>42695</c:v>
                </c:pt>
                <c:pt idx="89">
                  <c:v>42692</c:v>
                </c:pt>
                <c:pt idx="90">
                  <c:v>42691</c:v>
                </c:pt>
                <c:pt idx="91">
                  <c:v>42690</c:v>
                </c:pt>
                <c:pt idx="92">
                  <c:v>42689</c:v>
                </c:pt>
                <c:pt idx="93">
                  <c:v>42688</c:v>
                </c:pt>
                <c:pt idx="94">
                  <c:v>42685</c:v>
                </c:pt>
                <c:pt idx="95">
                  <c:v>42684</c:v>
                </c:pt>
                <c:pt idx="96">
                  <c:v>42683</c:v>
                </c:pt>
                <c:pt idx="97">
                  <c:v>42682</c:v>
                </c:pt>
                <c:pt idx="98">
                  <c:v>42681</c:v>
                </c:pt>
                <c:pt idx="99">
                  <c:v>42678</c:v>
                </c:pt>
                <c:pt idx="100">
                  <c:v>42677</c:v>
                </c:pt>
                <c:pt idx="101">
                  <c:v>42676</c:v>
                </c:pt>
                <c:pt idx="102">
                  <c:v>42675</c:v>
                </c:pt>
                <c:pt idx="103">
                  <c:v>42674</c:v>
                </c:pt>
                <c:pt idx="104">
                  <c:v>42671</c:v>
                </c:pt>
                <c:pt idx="105">
                  <c:v>42670</c:v>
                </c:pt>
                <c:pt idx="106">
                  <c:v>42669</c:v>
                </c:pt>
                <c:pt idx="107">
                  <c:v>42668</c:v>
                </c:pt>
                <c:pt idx="108">
                  <c:v>42667</c:v>
                </c:pt>
                <c:pt idx="109">
                  <c:v>42664</c:v>
                </c:pt>
                <c:pt idx="110">
                  <c:v>42663</c:v>
                </c:pt>
                <c:pt idx="111">
                  <c:v>42662</c:v>
                </c:pt>
                <c:pt idx="112">
                  <c:v>42661</c:v>
                </c:pt>
                <c:pt idx="113">
                  <c:v>42660</c:v>
                </c:pt>
                <c:pt idx="114">
                  <c:v>42657</c:v>
                </c:pt>
                <c:pt idx="115">
                  <c:v>42656</c:v>
                </c:pt>
                <c:pt idx="116">
                  <c:v>42655</c:v>
                </c:pt>
                <c:pt idx="117">
                  <c:v>42654</c:v>
                </c:pt>
                <c:pt idx="118">
                  <c:v>42653</c:v>
                </c:pt>
                <c:pt idx="119">
                  <c:v>42650</c:v>
                </c:pt>
                <c:pt idx="120">
                  <c:v>42649</c:v>
                </c:pt>
                <c:pt idx="121">
                  <c:v>42648</c:v>
                </c:pt>
                <c:pt idx="122">
                  <c:v>42647</c:v>
                </c:pt>
                <c:pt idx="123">
                  <c:v>42646</c:v>
                </c:pt>
                <c:pt idx="124">
                  <c:v>42643</c:v>
                </c:pt>
                <c:pt idx="125">
                  <c:v>42642</c:v>
                </c:pt>
                <c:pt idx="126">
                  <c:v>42641</c:v>
                </c:pt>
                <c:pt idx="127">
                  <c:v>42640</c:v>
                </c:pt>
                <c:pt idx="128">
                  <c:v>42639</c:v>
                </c:pt>
                <c:pt idx="129">
                  <c:v>42636</c:v>
                </c:pt>
                <c:pt idx="130">
                  <c:v>42635</c:v>
                </c:pt>
                <c:pt idx="131">
                  <c:v>42634</c:v>
                </c:pt>
                <c:pt idx="132">
                  <c:v>42633</c:v>
                </c:pt>
                <c:pt idx="133">
                  <c:v>42632</c:v>
                </c:pt>
                <c:pt idx="134">
                  <c:v>42629</c:v>
                </c:pt>
                <c:pt idx="135">
                  <c:v>42628</c:v>
                </c:pt>
                <c:pt idx="136">
                  <c:v>42627</c:v>
                </c:pt>
                <c:pt idx="137">
                  <c:v>42626</c:v>
                </c:pt>
                <c:pt idx="138">
                  <c:v>42625</c:v>
                </c:pt>
                <c:pt idx="139">
                  <c:v>42622</c:v>
                </c:pt>
                <c:pt idx="140">
                  <c:v>42621</c:v>
                </c:pt>
                <c:pt idx="141">
                  <c:v>42620</c:v>
                </c:pt>
                <c:pt idx="142">
                  <c:v>42619</c:v>
                </c:pt>
                <c:pt idx="143">
                  <c:v>42615</c:v>
                </c:pt>
                <c:pt idx="144">
                  <c:v>42614</c:v>
                </c:pt>
                <c:pt idx="145">
                  <c:v>42613</c:v>
                </c:pt>
                <c:pt idx="146">
                  <c:v>42612</c:v>
                </c:pt>
                <c:pt idx="147">
                  <c:v>42611</c:v>
                </c:pt>
                <c:pt idx="148">
                  <c:v>42608</c:v>
                </c:pt>
                <c:pt idx="149">
                  <c:v>42607</c:v>
                </c:pt>
                <c:pt idx="150">
                  <c:v>42606</c:v>
                </c:pt>
                <c:pt idx="151">
                  <c:v>42605</c:v>
                </c:pt>
                <c:pt idx="152">
                  <c:v>42604</c:v>
                </c:pt>
                <c:pt idx="153">
                  <c:v>42601</c:v>
                </c:pt>
                <c:pt idx="154">
                  <c:v>42600</c:v>
                </c:pt>
                <c:pt idx="155">
                  <c:v>42599</c:v>
                </c:pt>
                <c:pt idx="156">
                  <c:v>42598</c:v>
                </c:pt>
                <c:pt idx="157">
                  <c:v>42597</c:v>
                </c:pt>
                <c:pt idx="158">
                  <c:v>42594</c:v>
                </c:pt>
                <c:pt idx="159">
                  <c:v>42593</c:v>
                </c:pt>
                <c:pt idx="160">
                  <c:v>42592</c:v>
                </c:pt>
                <c:pt idx="161">
                  <c:v>42591</c:v>
                </c:pt>
                <c:pt idx="162">
                  <c:v>42590</c:v>
                </c:pt>
                <c:pt idx="163">
                  <c:v>42587</c:v>
                </c:pt>
                <c:pt idx="164">
                  <c:v>42586</c:v>
                </c:pt>
                <c:pt idx="165">
                  <c:v>42585</c:v>
                </c:pt>
                <c:pt idx="166">
                  <c:v>42584</c:v>
                </c:pt>
                <c:pt idx="167">
                  <c:v>42583</c:v>
                </c:pt>
                <c:pt idx="168">
                  <c:v>42580</c:v>
                </c:pt>
                <c:pt idx="169">
                  <c:v>42579</c:v>
                </c:pt>
                <c:pt idx="170">
                  <c:v>42578</c:v>
                </c:pt>
                <c:pt idx="171">
                  <c:v>42577</c:v>
                </c:pt>
                <c:pt idx="172">
                  <c:v>42576</c:v>
                </c:pt>
                <c:pt idx="173">
                  <c:v>42573</c:v>
                </c:pt>
                <c:pt idx="174">
                  <c:v>42572</c:v>
                </c:pt>
                <c:pt idx="175">
                  <c:v>42571</c:v>
                </c:pt>
                <c:pt idx="176">
                  <c:v>42570</c:v>
                </c:pt>
                <c:pt idx="177">
                  <c:v>42569</c:v>
                </c:pt>
                <c:pt idx="178">
                  <c:v>42566</c:v>
                </c:pt>
                <c:pt idx="179">
                  <c:v>42565</c:v>
                </c:pt>
                <c:pt idx="180">
                  <c:v>42564</c:v>
                </c:pt>
                <c:pt idx="181">
                  <c:v>42563</c:v>
                </c:pt>
                <c:pt idx="182">
                  <c:v>42562</c:v>
                </c:pt>
                <c:pt idx="183">
                  <c:v>42559</c:v>
                </c:pt>
                <c:pt idx="184">
                  <c:v>42558</c:v>
                </c:pt>
                <c:pt idx="185">
                  <c:v>42557</c:v>
                </c:pt>
                <c:pt idx="186">
                  <c:v>42556</c:v>
                </c:pt>
                <c:pt idx="187">
                  <c:v>42552</c:v>
                </c:pt>
                <c:pt idx="188">
                  <c:v>42551</c:v>
                </c:pt>
                <c:pt idx="189">
                  <c:v>42550</c:v>
                </c:pt>
                <c:pt idx="190">
                  <c:v>42549</c:v>
                </c:pt>
                <c:pt idx="191">
                  <c:v>42548</c:v>
                </c:pt>
                <c:pt idx="192">
                  <c:v>42545</c:v>
                </c:pt>
                <c:pt idx="193">
                  <c:v>42544</c:v>
                </c:pt>
                <c:pt idx="194">
                  <c:v>42543</c:v>
                </c:pt>
                <c:pt idx="195">
                  <c:v>42542</c:v>
                </c:pt>
                <c:pt idx="196">
                  <c:v>42541</c:v>
                </c:pt>
                <c:pt idx="197">
                  <c:v>42538</c:v>
                </c:pt>
                <c:pt idx="198">
                  <c:v>42537</c:v>
                </c:pt>
                <c:pt idx="199">
                  <c:v>42536</c:v>
                </c:pt>
                <c:pt idx="200">
                  <c:v>42535</c:v>
                </c:pt>
                <c:pt idx="201">
                  <c:v>42534</c:v>
                </c:pt>
                <c:pt idx="202">
                  <c:v>42531</c:v>
                </c:pt>
                <c:pt idx="203">
                  <c:v>42530</c:v>
                </c:pt>
                <c:pt idx="204">
                  <c:v>42529</c:v>
                </c:pt>
                <c:pt idx="205">
                  <c:v>42528</c:v>
                </c:pt>
                <c:pt idx="206">
                  <c:v>42527</c:v>
                </c:pt>
                <c:pt idx="207">
                  <c:v>42524</c:v>
                </c:pt>
                <c:pt idx="208">
                  <c:v>42523</c:v>
                </c:pt>
                <c:pt idx="209">
                  <c:v>42522</c:v>
                </c:pt>
                <c:pt idx="210">
                  <c:v>42521</c:v>
                </c:pt>
                <c:pt idx="211">
                  <c:v>42517</c:v>
                </c:pt>
                <c:pt idx="212">
                  <c:v>42516</c:v>
                </c:pt>
                <c:pt idx="213">
                  <c:v>42515</c:v>
                </c:pt>
                <c:pt idx="214">
                  <c:v>42514</c:v>
                </c:pt>
                <c:pt idx="215">
                  <c:v>42513</c:v>
                </c:pt>
                <c:pt idx="216">
                  <c:v>42510</c:v>
                </c:pt>
                <c:pt idx="217">
                  <c:v>42509</c:v>
                </c:pt>
                <c:pt idx="218">
                  <c:v>42508</c:v>
                </c:pt>
                <c:pt idx="219">
                  <c:v>42507</c:v>
                </c:pt>
                <c:pt idx="220">
                  <c:v>42506</c:v>
                </c:pt>
                <c:pt idx="221">
                  <c:v>42503</c:v>
                </c:pt>
                <c:pt idx="222">
                  <c:v>42502</c:v>
                </c:pt>
                <c:pt idx="223">
                  <c:v>42501</c:v>
                </c:pt>
                <c:pt idx="224">
                  <c:v>42500</c:v>
                </c:pt>
                <c:pt idx="225">
                  <c:v>42499</c:v>
                </c:pt>
                <c:pt idx="226">
                  <c:v>42496</c:v>
                </c:pt>
                <c:pt idx="227">
                  <c:v>42495</c:v>
                </c:pt>
                <c:pt idx="228">
                  <c:v>42494</c:v>
                </c:pt>
                <c:pt idx="229">
                  <c:v>42493</c:v>
                </c:pt>
                <c:pt idx="230">
                  <c:v>42492</c:v>
                </c:pt>
                <c:pt idx="231">
                  <c:v>42489</c:v>
                </c:pt>
                <c:pt idx="232">
                  <c:v>42488</c:v>
                </c:pt>
                <c:pt idx="233">
                  <c:v>42487</c:v>
                </c:pt>
                <c:pt idx="234">
                  <c:v>42486</c:v>
                </c:pt>
                <c:pt idx="235">
                  <c:v>42485</c:v>
                </c:pt>
                <c:pt idx="236">
                  <c:v>42482</c:v>
                </c:pt>
                <c:pt idx="237">
                  <c:v>42481</c:v>
                </c:pt>
                <c:pt idx="238">
                  <c:v>42480</c:v>
                </c:pt>
                <c:pt idx="239">
                  <c:v>42479</c:v>
                </c:pt>
                <c:pt idx="240">
                  <c:v>42478</c:v>
                </c:pt>
                <c:pt idx="241">
                  <c:v>42475</c:v>
                </c:pt>
                <c:pt idx="242">
                  <c:v>42474</c:v>
                </c:pt>
                <c:pt idx="243">
                  <c:v>42473</c:v>
                </c:pt>
                <c:pt idx="244">
                  <c:v>42472</c:v>
                </c:pt>
                <c:pt idx="245">
                  <c:v>42471</c:v>
                </c:pt>
                <c:pt idx="246">
                  <c:v>42468</c:v>
                </c:pt>
                <c:pt idx="247">
                  <c:v>42467</c:v>
                </c:pt>
                <c:pt idx="248">
                  <c:v>42466</c:v>
                </c:pt>
                <c:pt idx="249">
                  <c:v>42465</c:v>
                </c:pt>
                <c:pt idx="250">
                  <c:v>42464</c:v>
                </c:pt>
                <c:pt idx="251">
                  <c:v>42461</c:v>
                </c:pt>
                <c:pt idx="252">
                  <c:v>42460</c:v>
                </c:pt>
                <c:pt idx="253">
                  <c:v>42459</c:v>
                </c:pt>
                <c:pt idx="254">
                  <c:v>42458</c:v>
                </c:pt>
                <c:pt idx="255">
                  <c:v>42457</c:v>
                </c:pt>
                <c:pt idx="256">
                  <c:v>42453</c:v>
                </c:pt>
                <c:pt idx="257">
                  <c:v>42452</c:v>
                </c:pt>
                <c:pt idx="258">
                  <c:v>42451</c:v>
                </c:pt>
                <c:pt idx="259">
                  <c:v>42450</c:v>
                </c:pt>
                <c:pt idx="260">
                  <c:v>42447</c:v>
                </c:pt>
                <c:pt idx="261">
                  <c:v>42446</c:v>
                </c:pt>
                <c:pt idx="262">
                  <c:v>42445</c:v>
                </c:pt>
                <c:pt idx="263">
                  <c:v>42444</c:v>
                </c:pt>
                <c:pt idx="264">
                  <c:v>42443</c:v>
                </c:pt>
                <c:pt idx="265">
                  <c:v>42440</c:v>
                </c:pt>
                <c:pt idx="266">
                  <c:v>42439</c:v>
                </c:pt>
                <c:pt idx="267">
                  <c:v>42438</c:v>
                </c:pt>
                <c:pt idx="268">
                  <c:v>42437</c:v>
                </c:pt>
                <c:pt idx="269">
                  <c:v>42436</c:v>
                </c:pt>
                <c:pt idx="270">
                  <c:v>42433</c:v>
                </c:pt>
                <c:pt idx="271">
                  <c:v>42432</c:v>
                </c:pt>
                <c:pt idx="272">
                  <c:v>42431</c:v>
                </c:pt>
                <c:pt idx="273">
                  <c:v>42430</c:v>
                </c:pt>
                <c:pt idx="274">
                  <c:v>42429</c:v>
                </c:pt>
                <c:pt idx="275">
                  <c:v>42426</c:v>
                </c:pt>
                <c:pt idx="276">
                  <c:v>42425</c:v>
                </c:pt>
                <c:pt idx="277">
                  <c:v>42424</c:v>
                </c:pt>
                <c:pt idx="278">
                  <c:v>42423</c:v>
                </c:pt>
                <c:pt idx="279">
                  <c:v>42422</c:v>
                </c:pt>
                <c:pt idx="280">
                  <c:v>42419</c:v>
                </c:pt>
                <c:pt idx="281">
                  <c:v>42418</c:v>
                </c:pt>
                <c:pt idx="282">
                  <c:v>42417</c:v>
                </c:pt>
                <c:pt idx="283">
                  <c:v>42416</c:v>
                </c:pt>
                <c:pt idx="284">
                  <c:v>42412</c:v>
                </c:pt>
                <c:pt idx="285">
                  <c:v>42411</c:v>
                </c:pt>
                <c:pt idx="286">
                  <c:v>42410</c:v>
                </c:pt>
                <c:pt idx="287">
                  <c:v>42409</c:v>
                </c:pt>
                <c:pt idx="288">
                  <c:v>42408</c:v>
                </c:pt>
                <c:pt idx="289">
                  <c:v>42405</c:v>
                </c:pt>
                <c:pt idx="290">
                  <c:v>42404</c:v>
                </c:pt>
                <c:pt idx="291">
                  <c:v>42403</c:v>
                </c:pt>
                <c:pt idx="292">
                  <c:v>42402</c:v>
                </c:pt>
                <c:pt idx="293">
                  <c:v>42401</c:v>
                </c:pt>
                <c:pt idx="294">
                  <c:v>42398</c:v>
                </c:pt>
                <c:pt idx="295">
                  <c:v>42397</c:v>
                </c:pt>
                <c:pt idx="296">
                  <c:v>42396</c:v>
                </c:pt>
                <c:pt idx="297">
                  <c:v>42395</c:v>
                </c:pt>
                <c:pt idx="298">
                  <c:v>42394</c:v>
                </c:pt>
                <c:pt idx="299">
                  <c:v>42391</c:v>
                </c:pt>
                <c:pt idx="300">
                  <c:v>42390</c:v>
                </c:pt>
                <c:pt idx="301">
                  <c:v>42389</c:v>
                </c:pt>
                <c:pt idx="302">
                  <c:v>42388</c:v>
                </c:pt>
                <c:pt idx="303">
                  <c:v>42384</c:v>
                </c:pt>
                <c:pt idx="304">
                  <c:v>42383</c:v>
                </c:pt>
                <c:pt idx="305">
                  <c:v>42382</c:v>
                </c:pt>
                <c:pt idx="306">
                  <c:v>42381</c:v>
                </c:pt>
                <c:pt idx="307">
                  <c:v>42380</c:v>
                </c:pt>
                <c:pt idx="308">
                  <c:v>42377</c:v>
                </c:pt>
                <c:pt idx="309">
                  <c:v>42376</c:v>
                </c:pt>
                <c:pt idx="310">
                  <c:v>42375</c:v>
                </c:pt>
                <c:pt idx="311">
                  <c:v>42374</c:v>
                </c:pt>
                <c:pt idx="312">
                  <c:v>42373</c:v>
                </c:pt>
                <c:pt idx="313">
                  <c:v>42369</c:v>
                </c:pt>
                <c:pt idx="314">
                  <c:v>42368</c:v>
                </c:pt>
                <c:pt idx="315">
                  <c:v>42367</c:v>
                </c:pt>
                <c:pt idx="316">
                  <c:v>42366</c:v>
                </c:pt>
                <c:pt idx="317">
                  <c:v>42362</c:v>
                </c:pt>
                <c:pt idx="318">
                  <c:v>42361</c:v>
                </c:pt>
                <c:pt idx="319">
                  <c:v>42360</c:v>
                </c:pt>
                <c:pt idx="320">
                  <c:v>42359</c:v>
                </c:pt>
                <c:pt idx="321">
                  <c:v>42356</c:v>
                </c:pt>
                <c:pt idx="322">
                  <c:v>42355</c:v>
                </c:pt>
                <c:pt idx="323">
                  <c:v>42354</c:v>
                </c:pt>
                <c:pt idx="324">
                  <c:v>42353</c:v>
                </c:pt>
                <c:pt idx="325">
                  <c:v>42352</c:v>
                </c:pt>
                <c:pt idx="326">
                  <c:v>42349</c:v>
                </c:pt>
                <c:pt idx="327">
                  <c:v>42348</c:v>
                </c:pt>
                <c:pt idx="328">
                  <c:v>42347</c:v>
                </c:pt>
                <c:pt idx="329">
                  <c:v>42346</c:v>
                </c:pt>
                <c:pt idx="330">
                  <c:v>42345</c:v>
                </c:pt>
                <c:pt idx="331">
                  <c:v>42342</c:v>
                </c:pt>
                <c:pt idx="332">
                  <c:v>42341</c:v>
                </c:pt>
                <c:pt idx="333">
                  <c:v>42340</c:v>
                </c:pt>
                <c:pt idx="334">
                  <c:v>42339</c:v>
                </c:pt>
                <c:pt idx="335">
                  <c:v>42338</c:v>
                </c:pt>
                <c:pt idx="336">
                  <c:v>42335</c:v>
                </c:pt>
                <c:pt idx="337">
                  <c:v>42333</c:v>
                </c:pt>
                <c:pt idx="338">
                  <c:v>42332</c:v>
                </c:pt>
                <c:pt idx="339">
                  <c:v>42331</c:v>
                </c:pt>
                <c:pt idx="340">
                  <c:v>42328</c:v>
                </c:pt>
                <c:pt idx="341">
                  <c:v>42327</c:v>
                </c:pt>
                <c:pt idx="342">
                  <c:v>42326</c:v>
                </c:pt>
                <c:pt idx="343">
                  <c:v>42325</c:v>
                </c:pt>
                <c:pt idx="344">
                  <c:v>42324</c:v>
                </c:pt>
                <c:pt idx="345">
                  <c:v>42321</c:v>
                </c:pt>
                <c:pt idx="346">
                  <c:v>42320</c:v>
                </c:pt>
                <c:pt idx="347">
                  <c:v>42319</c:v>
                </c:pt>
                <c:pt idx="348">
                  <c:v>42318</c:v>
                </c:pt>
                <c:pt idx="349">
                  <c:v>42317</c:v>
                </c:pt>
                <c:pt idx="350">
                  <c:v>42314</c:v>
                </c:pt>
                <c:pt idx="351">
                  <c:v>42313</c:v>
                </c:pt>
                <c:pt idx="352">
                  <c:v>42312</c:v>
                </c:pt>
                <c:pt idx="353">
                  <c:v>42311</c:v>
                </c:pt>
                <c:pt idx="354">
                  <c:v>42310</c:v>
                </c:pt>
                <c:pt idx="355">
                  <c:v>42307</c:v>
                </c:pt>
                <c:pt idx="356">
                  <c:v>42306</c:v>
                </c:pt>
                <c:pt idx="357">
                  <c:v>42305</c:v>
                </c:pt>
                <c:pt idx="358">
                  <c:v>42304</c:v>
                </c:pt>
                <c:pt idx="359">
                  <c:v>42303</c:v>
                </c:pt>
                <c:pt idx="360">
                  <c:v>42300</c:v>
                </c:pt>
                <c:pt idx="361">
                  <c:v>42299</c:v>
                </c:pt>
                <c:pt idx="362">
                  <c:v>42298</c:v>
                </c:pt>
                <c:pt idx="363">
                  <c:v>42297</c:v>
                </c:pt>
                <c:pt idx="364">
                  <c:v>42296</c:v>
                </c:pt>
                <c:pt idx="365">
                  <c:v>42293</c:v>
                </c:pt>
                <c:pt idx="366">
                  <c:v>42292</c:v>
                </c:pt>
                <c:pt idx="367">
                  <c:v>42291</c:v>
                </c:pt>
                <c:pt idx="368">
                  <c:v>42290</c:v>
                </c:pt>
                <c:pt idx="369">
                  <c:v>42289</c:v>
                </c:pt>
                <c:pt idx="370">
                  <c:v>42286</c:v>
                </c:pt>
                <c:pt idx="371">
                  <c:v>42285</c:v>
                </c:pt>
                <c:pt idx="372">
                  <c:v>42284</c:v>
                </c:pt>
                <c:pt idx="373">
                  <c:v>42283</c:v>
                </c:pt>
                <c:pt idx="374">
                  <c:v>42282</c:v>
                </c:pt>
                <c:pt idx="375">
                  <c:v>42279</c:v>
                </c:pt>
                <c:pt idx="376">
                  <c:v>42278</c:v>
                </c:pt>
                <c:pt idx="377">
                  <c:v>42277</c:v>
                </c:pt>
                <c:pt idx="378">
                  <c:v>42276</c:v>
                </c:pt>
                <c:pt idx="379">
                  <c:v>42275</c:v>
                </c:pt>
                <c:pt idx="380">
                  <c:v>42272</c:v>
                </c:pt>
                <c:pt idx="381">
                  <c:v>42271</c:v>
                </c:pt>
                <c:pt idx="382">
                  <c:v>42270</c:v>
                </c:pt>
                <c:pt idx="383">
                  <c:v>42269</c:v>
                </c:pt>
                <c:pt idx="384">
                  <c:v>42268</c:v>
                </c:pt>
                <c:pt idx="385">
                  <c:v>42265</c:v>
                </c:pt>
                <c:pt idx="386">
                  <c:v>42264</c:v>
                </c:pt>
                <c:pt idx="387">
                  <c:v>42263</c:v>
                </c:pt>
                <c:pt idx="388">
                  <c:v>42262</c:v>
                </c:pt>
                <c:pt idx="389">
                  <c:v>42261</c:v>
                </c:pt>
                <c:pt idx="390">
                  <c:v>42258</c:v>
                </c:pt>
                <c:pt idx="391">
                  <c:v>42257</c:v>
                </c:pt>
                <c:pt idx="392">
                  <c:v>42256</c:v>
                </c:pt>
                <c:pt idx="393">
                  <c:v>42255</c:v>
                </c:pt>
                <c:pt idx="394">
                  <c:v>42251</c:v>
                </c:pt>
                <c:pt idx="395">
                  <c:v>42250</c:v>
                </c:pt>
                <c:pt idx="396">
                  <c:v>42249</c:v>
                </c:pt>
                <c:pt idx="397">
                  <c:v>42248</c:v>
                </c:pt>
                <c:pt idx="398">
                  <c:v>42247</c:v>
                </c:pt>
                <c:pt idx="399">
                  <c:v>42244</c:v>
                </c:pt>
                <c:pt idx="400">
                  <c:v>42243</c:v>
                </c:pt>
                <c:pt idx="401">
                  <c:v>42242</c:v>
                </c:pt>
                <c:pt idx="402">
                  <c:v>42241</c:v>
                </c:pt>
                <c:pt idx="403">
                  <c:v>42240</c:v>
                </c:pt>
                <c:pt idx="404">
                  <c:v>42237</c:v>
                </c:pt>
                <c:pt idx="405">
                  <c:v>42236</c:v>
                </c:pt>
                <c:pt idx="406">
                  <c:v>42235</c:v>
                </c:pt>
                <c:pt idx="407">
                  <c:v>42234</c:v>
                </c:pt>
                <c:pt idx="408">
                  <c:v>42233</c:v>
                </c:pt>
                <c:pt idx="409">
                  <c:v>42230</c:v>
                </c:pt>
                <c:pt idx="410">
                  <c:v>42229</c:v>
                </c:pt>
                <c:pt idx="411">
                  <c:v>42228</c:v>
                </c:pt>
                <c:pt idx="412">
                  <c:v>42227</c:v>
                </c:pt>
                <c:pt idx="413">
                  <c:v>42226</c:v>
                </c:pt>
                <c:pt idx="414">
                  <c:v>42223</c:v>
                </c:pt>
                <c:pt idx="415">
                  <c:v>42222</c:v>
                </c:pt>
                <c:pt idx="416">
                  <c:v>42221</c:v>
                </c:pt>
                <c:pt idx="417">
                  <c:v>42220</c:v>
                </c:pt>
                <c:pt idx="418">
                  <c:v>42219</c:v>
                </c:pt>
                <c:pt idx="419">
                  <c:v>42216</c:v>
                </c:pt>
                <c:pt idx="420">
                  <c:v>42215</c:v>
                </c:pt>
                <c:pt idx="421">
                  <c:v>42214</c:v>
                </c:pt>
                <c:pt idx="422">
                  <c:v>42213</c:v>
                </c:pt>
                <c:pt idx="423">
                  <c:v>42212</c:v>
                </c:pt>
                <c:pt idx="424">
                  <c:v>42209</c:v>
                </c:pt>
                <c:pt idx="425">
                  <c:v>42208</c:v>
                </c:pt>
                <c:pt idx="426">
                  <c:v>42207</c:v>
                </c:pt>
                <c:pt idx="427">
                  <c:v>42206</c:v>
                </c:pt>
                <c:pt idx="428">
                  <c:v>42205</c:v>
                </c:pt>
                <c:pt idx="429">
                  <c:v>42202</c:v>
                </c:pt>
                <c:pt idx="430">
                  <c:v>42201</c:v>
                </c:pt>
                <c:pt idx="431">
                  <c:v>42200</c:v>
                </c:pt>
                <c:pt idx="432">
                  <c:v>42199</c:v>
                </c:pt>
                <c:pt idx="433">
                  <c:v>42198</c:v>
                </c:pt>
                <c:pt idx="434">
                  <c:v>42195</c:v>
                </c:pt>
                <c:pt idx="435">
                  <c:v>42194</c:v>
                </c:pt>
                <c:pt idx="436">
                  <c:v>42193</c:v>
                </c:pt>
                <c:pt idx="437">
                  <c:v>42192</c:v>
                </c:pt>
                <c:pt idx="438">
                  <c:v>42191</c:v>
                </c:pt>
                <c:pt idx="439">
                  <c:v>42187</c:v>
                </c:pt>
                <c:pt idx="440">
                  <c:v>42186</c:v>
                </c:pt>
                <c:pt idx="441">
                  <c:v>42185</c:v>
                </c:pt>
                <c:pt idx="442">
                  <c:v>42184</c:v>
                </c:pt>
                <c:pt idx="443">
                  <c:v>42181</c:v>
                </c:pt>
                <c:pt idx="444">
                  <c:v>42180</c:v>
                </c:pt>
                <c:pt idx="445">
                  <c:v>42179</c:v>
                </c:pt>
                <c:pt idx="446">
                  <c:v>42178</c:v>
                </c:pt>
                <c:pt idx="447">
                  <c:v>42177</c:v>
                </c:pt>
                <c:pt idx="448">
                  <c:v>42174</c:v>
                </c:pt>
                <c:pt idx="449">
                  <c:v>42173</c:v>
                </c:pt>
                <c:pt idx="450">
                  <c:v>42172</c:v>
                </c:pt>
                <c:pt idx="451">
                  <c:v>42171</c:v>
                </c:pt>
                <c:pt idx="452">
                  <c:v>42170</c:v>
                </c:pt>
                <c:pt idx="453">
                  <c:v>42167</c:v>
                </c:pt>
                <c:pt idx="454">
                  <c:v>42166</c:v>
                </c:pt>
                <c:pt idx="455">
                  <c:v>42165</c:v>
                </c:pt>
                <c:pt idx="456">
                  <c:v>42164</c:v>
                </c:pt>
                <c:pt idx="457">
                  <c:v>42163</c:v>
                </c:pt>
                <c:pt idx="458">
                  <c:v>42160</c:v>
                </c:pt>
                <c:pt idx="459">
                  <c:v>42159</c:v>
                </c:pt>
                <c:pt idx="460">
                  <c:v>42158</c:v>
                </c:pt>
                <c:pt idx="461">
                  <c:v>42157</c:v>
                </c:pt>
                <c:pt idx="462">
                  <c:v>42156</c:v>
                </c:pt>
                <c:pt idx="463">
                  <c:v>42153</c:v>
                </c:pt>
                <c:pt idx="464">
                  <c:v>42152</c:v>
                </c:pt>
                <c:pt idx="465">
                  <c:v>42151</c:v>
                </c:pt>
                <c:pt idx="466">
                  <c:v>42150</c:v>
                </c:pt>
                <c:pt idx="467">
                  <c:v>42146</c:v>
                </c:pt>
                <c:pt idx="468">
                  <c:v>42145</c:v>
                </c:pt>
                <c:pt idx="469">
                  <c:v>42144</c:v>
                </c:pt>
                <c:pt idx="470">
                  <c:v>42143</c:v>
                </c:pt>
                <c:pt idx="471">
                  <c:v>42142</c:v>
                </c:pt>
                <c:pt idx="472">
                  <c:v>42139</c:v>
                </c:pt>
                <c:pt idx="473">
                  <c:v>42138</c:v>
                </c:pt>
                <c:pt idx="474">
                  <c:v>42137</c:v>
                </c:pt>
                <c:pt idx="475">
                  <c:v>42136</c:v>
                </c:pt>
                <c:pt idx="476">
                  <c:v>42135</c:v>
                </c:pt>
                <c:pt idx="477">
                  <c:v>42132</c:v>
                </c:pt>
                <c:pt idx="478">
                  <c:v>42131</c:v>
                </c:pt>
                <c:pt idx="479">
                  <c:v>42130</c:v>
                </c:pt>
                <c:pt idx="480">
                  <c:v>42129</c:v>
                </c:pt>
                <c:pt idx="481">
                  <c:v>42128</c:v>
                </c:pt>
                <c:pt idx="482">
                  <c:v>42125</c:v>
                </c:pt>
                <c:pt idx="483">
                  <c:v>42124</c:v>
                </c:pt>
                <c:pt idx="484">
                  <c:v>42123</c:v>
                </c:pt>
                <c:pt idx="485">
                  <c:v>42122</c:v>
                </c:pt>
                <c:pt idx="486">
                  <c:v>42121</c:v>
                </c:pt>
                <c:pt idx="487">
                  <c:v>42118</c:v>
                </c:pt>
                <c:pt idx="488">
                  <c:v>42117</c:v>
                </c:pt>
                <c:pt idx="489">
                  <c:v>42116</c:v>
                </c:pt>
                <c:pt idx="490">
                  <c:v>42115</c:v>
                </c:pt>
                <c:pt idx="491">
                  <c:v>42114</c:v>
                </c:pt>
                <c:pt idx="492">
                  <c:v>42111</c:v>
                </c:pt>
                <c:pt idx="493">
                  <c:v>42110</c:v>
                </c:pt>
                <c:pt idx="494">
                  <c:v>42109</c:v>
                </c:pt>
                <c:pt idx="495">
                  <c:v>42108</c:v>
                </c:pt>
                <c:pt idx="496">
                  <c:v>42107</c:v>
                </c:pt>
                <c:pt idx="497">
                  <c:v>42104</c:v>
                </c:pt>
                <c:pt idx="498">
                  <c:v>42103</c:v>
                </c:pt>
                <c:pt idx="499">
                  <c:v>42102</c:v>
                </c:pt>
                <c:pt idx="500">
                  <c:v>42101</c:v>
                </c:pt>
                <c:pt idx="501">
                  <c:v>42100</c:v>
                </c:pt>
                <c:pt idx="502">
                  <c:v>42096</c:v>
                </c:pt>
                <c:pt idx="503">
                  <c:v>42095</c:v>
                </c:pt>
                <c:pt idx="504">
                  <c:v>42094</c:v>
                </c:pt>
                <c:pt idx="505">
                  <c:v>42093</c:v>
                </c:pt>
                <c:pt idx="506">
                  <c:v>42090</c:v>
                </c:pt>
                <c:pt idx="507">
                  <c:v>42089</c:v>
                </c:pt>
                <c:pt idx="508">
                  <c:v>42088</c:v>
                </c:pt>
                <c:pt idx="509">
                  <c:v>42087</c:v>
                </c:pt>
                <c:pt idx="510">
                  <c:v>42086</c:v>
                </c:pt>
                <c:pt idx="511">
                  <c:v>42083</c:v>
                </c:pt>
                <c:pt idx="512">
                  <c:v>42082</c:v>
                </c:pt>
                <c:pt idx="513">
                  <c:v>42081</c:v>
                </c:pt>
                <c:pt idx="514">
                  <c:v>42080</c:v>
                </c:pt>
                <c:pt idx="515">
                  <c:v>42079</c:v>
                </c:pt>
                <c:pt idx="516">
                  <c:v>42076</c:v>
                </c:pt>
                <c:pt idx="517">
                  <c:v>42075</c:v>
                </c:pt>
                <c:pt idx="518">
                  <c:v>42074</c:v>
                </c:pt>
                <c:pt idx="519">
                  <c:v>42073</c:v>
                </c:pt>
                <c:pt idx="520">
                  <c:v>42072</c:v>
                </c:pt>
                <c:pt idx="521">
                  <c:v>42069</c:v>
                </c:pt>
                <c:pt idx="522">
                  <c:v>42068</c:v>
                </c:pt>
                <c:pt idx="523">
                  <c:v>42067</c:v>
                </c:pt>
                <c:pt idx="524">
                  <c:v>42066</c:v>
                </c:pt>
                <c:pt idx="525">
                  <c:v>42065</c:v>
                </c:pt>
                <c:pt idx="526">
                  <c:v>42062</c:v>
                </c:pt>
                <c:pt idx="527">
                  <c:v>42061</c:v>
                </c:pt>
                <c:pt idx="528">
                  <c:v>42060</c:v>
                </c:pt>
                <c:pt idx="529">
                  <c:v>42059</c:v>
                </c:pt>
                <c:pt idx="530">
                  <c:v>42058</c:v>
                </c:pt>
                <c:pt idx="531">
                  <c:v>42055</c:v>
                </c:pt>
                <c:pt idx="532">
                  <c:v>42054</c:v>
                </c:pt>
                <c:pt idx="533">
                  <c:v>42053</c:v>
                </c:pt>
                <c:pt idx="534">
                  <c:v>42052</c:v>
                </c:pt>
                <c:pt idx="535">
                  <c:v>42048</c:v>
                </c:pt>
                <c:pt idx="536">
                  <c:v>42047</c:v>
                </c:pt>
                <c:pt idx="537">
                  <c:v>42046</c:v>
                </c:pt>
                <c:pt idx="538">
                  <c:v>42045</c:v>
                </c:pt>
                <c:pt idx="539">
                  <c:v>42044</c:v>
                </c:pt>
                <c:pt idx="540">
                  <c:v>42041</c:v>
                </c:pt>
                <c:pt idx="541">
                  <c:v>42040</c:v>
                </c:pt>
                <c:pt idx="542">
                  <c:v>42039</c:v>
                </c:pt>
                <c:pt idx="543">
                  <c:v>42038</c:v>
                </c:pt>
                <c:pt idx="544">
                  <c:v>42037</c:v>
                </c:pt>
                <c:pt idx="545">
                  <c:v>42034</c:v>
                </c:pt>
                <c:pt idx="546">
                  <c:v>42033</c:v>
                </c:pt>
                <c:pt idx="547">
                  <c:v>42032</c:v>
                </c:pt>
                <c:pt idx="548">
                  <c:v>42031</c:v>
                </c:pt>
                <c:pt idx="549">
                  <c:v>42030</c:v>
                </c:pt>
                <c:pt idx="550">
                  <c:v>42027</c:v>
                </c:pt>
                <c:pt idx="551">
                  <c:v>42026</c:v>
                </c:pt>
                <c:pt idx="552">
                  <c:v>42025</c:v>
                </c:pt>
                <c:pt idx="553">
                  <c:v>42024</c:v>
                </c:pt>
                <c:pt idx="554">
                  <c:v>42020</c:v>
                </c:pt>
                <c:pt idx="555">
                  <c:v>42019</c:v>
                </c:pt>
                <c:pt idx="556">
                  <c:v>42018</c:v>
                </c:pt>
                <c:pt idx="557">
                  <c:v>42017</c:v>
                </c:pt>
                <c:pt idx="558">
                  <c:v>42016</c:v>
                </c:pt>
                <c:pt idx="559">
                  <c:v>42013</c:v>
                </c:pt>
                <c:pt idx="560">
                  <c:v>42012</c:v>
                </c:pt>
                <c:pt idx="561">
                  <c:v>42011</c:v>
                </c:pt>
                <c:pt idx="562">
                  <c:v>42010</c:v>
                </c:pt>
                <c:pt idx="563">
                  <c:v>42009</c:v>
                </c:pt>
                <c:pt idx="564">
                  <c:v>42006</c:v>
                </c:pt>
              </c:numCache>
            </c:numRef>
          </c:cat>
          <c:val>
            <c:numRef>
              <c:f>'Graf 3+4'!$M$3:$M$600</c:f>
              <c:numCache>
                <c:formatCode>General</c:formatCode>
                <c:ptCount val="598"/>
                <c:pt idx="0">
                  <c:v>1.1613453002259959</c:v>
                </c:pt>
                <c:pt idx="1">
                  <c:v>1.158410264882749</c:v>
                </c:pt>
                <c:pt idx="2">
                  <c:v>1.1573248614391369</c:v>
                </c:pt>
                <c:pt idx="3">
                  <c:v>1.1500733784724346</c:v>
                </c:pt>
                <c:pt idx="4">
                  <c:v>1.1510930117457558</c:v>
                </c:pt>
                <c:pt idx="5">
                  <c:v>1.1519370159060998</c:v>
                </c:pt>
                <c:pt idx="6">
                  <c:v>1.1529972897037108</c:v>
                </c:pt>
                <c:pt idx="7">
                  <c:v>1.1511073740886566</c:v>
                </c:pt>
                <c:pt idx="8">
                  <c:v>1.1635153674485892</c:v>
                </c:pt>
                <c:pt idx="9">
                  <c:v>1.1655252486637684</c:v>
                </c:pt>
                <c:pt idx="10">
                  <c:v>1.1668396126040048</c:v>
                </c:pt>
                <c:pt idx="11">
                  <c:v>1.1684662696560664</c:v>
                </c:pt>
                <c:pt idx="12">
                  <c:v>1.1600915418030149</c:v>
                </c:pt>
                <c:pt idx="13">
                  <c:v>1.1634705607078253</c:v>
                </c:pt>
                <c:pt idx="14">
                  <c:v>1.16310387437216</c:v>
                </c:pt>
                <c:pt idx="15">
                  <c:v>1.1598351957555764</c:v>
                </c:pt>
                <c:pt idx="16">
                  <c:v>1.1590353582622415</c:v>
                </c:pt>
                <c:pt idx="17">
                  <c:v>1.1613196104335479</c:v>
                </c:pt>
                <c:pt idx="18">
                  <c:v>1.1642329143812433</c:v>
                </c:pt>
                <c:pt idx="19">
                  <c:v>1.1675101308034126</c:v>
                </c:pt>
                <c:pt idx="20">
                  <c:v>1.1670063355458051</c:v>
                </c:pt>
                <c:pt idx="21">
                  <c:v>1.1728661996503811</c:v>
                </c:pt>
                <c:pt idx="22">
                  <c:v>1.1591923745331889</c:v>
                </c:pt>
                <c:pt idx="23">
                  <c:v>1.1617707055807678</c:v>
                </c:pt>
                <c:pt idx="24">
                  <c:v>1.1607526853555363</c:v>
                </c:pt>
                <c:pt idx="25">
                  <c:v>1.159259333520998</c:v>
                </c:pt>
                <c:pt idx="26">
                  <c:v>1.1588403426541527</c:v>
                </c:pt>
                <c:pt idx="27">
                  <c:v>1.1599226211886799</c:v>
                </c:pt>
                <c:pt idx="28">
                  <c:v>1.1538745427933348</c:v>
                </c:pt>
                <c:pt idx="29">
                  <c:v>1.1521959613224881</c:v>
                </c:pt>
                <c:pt idx="30">
                  <c:v>1.1530600668880941</c:v>
                </c:pt>
                <c:pt idx="31">
                  <c:v>1.1480677243800299</c:v>
                </c:pt>
                <c:pt idx="32">
                  <c:v>1.1440604227586402</c:v>
                </c:pt>
                <c:pt idx="33">
                  <c:v>1.1388145352753711</c:v>
                </c:pt>
                <c:pt idx="34">
                  <c:v>1.1352484765285613</c:v>
                </c:pt>
                <c:pt idx="35">
                  <c:v>1.1294960153903588</c:v>
                </c:pt>
                <c:pt idx="36">
                  <c:v>1.1288026248414029</c:v>
                </c:pt>
                <c:pt idx="37">
                  <c:v>1.1285758041693157</c:v>
                </c:pt>
                <c:pt idx="38">
                  <c:v>1.130691220592956</c:v>
                </c:pt>
                <c:pt idx="39">
                  <c:v>1.1234263851149544</c:v>
                </c:pt>
                <c:pt idx="40">
                  <c:v>1.1228560971195169</c:v>
                </c:pt>
                <c:pt idx="41">
                  <c:v>1.1225577036174741</c:v>
                </c:pt>
                <c:pt idx="42">
                  <c:v>1.1234477031790506</c:v>
                </c:pt>
                <c:pt idx="43">
                  <c:v>1.1294572295202991</c:v>
                </c:pt>
                <c:pt idx="44">
                  <c:v>1.1303236976394975</c:v>
                </c:pt>
                <c:pt idx="45">
                  <c:v>1.131059001354739</c:v>
                </c:pt>
                <c:pt idx="46">
                  <c:v>1.1230329319796759</c:v>
                </c:pt>
                <c:pt idx="47">
                  <c:v>1.1164683902173587</c:v>
                </c:pt>
                <c:pt idx="48">
                  <c:v>1.119158467749708</c:v>
                </c:pt>
                <c:pt idx="49">
                  <c:v>1.1157922824504842</c:v>
                </c:pt>
                <c:pt idx="50">
                  <c:v>1.119401612127537</c:v>
                </c:pt>
                <c:pt idx="51">
                  <c:v>1.1176378581535786</c:v>
                </c:pt>
                <c:pt idx="52">
                  <c:v>1.1206053607034328</c:v>
                </c:pt>
                <c:pt idx="53">
                  <c:v>1.1187554990026172</c:v>
                </c:pt>
                <c:pt idx="54">
                  <c:v>1.120900252268092</c:v>
                </c:pt>
                <c:pt idx="55">
                  <c:v>1.1180706872806532</c:v>
                </c:pt>
                <c:pt idx="56">
                  <c:v>1.1180706872806532</c:v>
                </c:pt>
                <c:pt idx="57">
                  <c:v>1.1216192472153033</c:v>
                </c:pt>
                <c:pt idx="58">
                  <c:v>1.1181022793880664</c:v>
                </c:pt>
                <c:pt idx="59">
                  <c:v>1.118872949871387</c:v>
                </c:pt>
                <c:pt idx="60">
                  <c:v>1.1131506412830521</c:v>
                </c:pt>
                <c:pt idx="61">
                  <c:v>1.1046640657056299</c:v>
                </c:pt>
                <c:pt idx="62">
                  <c:v>1.1093011463454849</c:v>
                </c:pt>
                <c:pt idx="63">
                  <c:v>1.1095944901088188</c:v>
                </c:pt>
                <c:pt idx="64">
                  <c:v>1.1179510360698215</c:v>
                </c:pt>
                <c:pt idx="65">
                  <c:v>1.1157025942973955</c:v>
                </c:pt>
                <c:pt idx="66">
                  <c:v>1.1144509135953928</c:v>
                </c:pt>
                <c:pt idx="67">
                  <c:v>1.1163139002013138</c:v>
                </c:pt>
                <c:pt idx="68">
                  <c:v>1.1187712272636192</c:v>
                </c:pt>
                <c:pt idx="69">
                  <c:v>1.1151337064351661</c:v>
                </c:pt>
                <c:pt idx="70">
                  <c:v>1.1131585683747871</c:v>
                </c:pt>
                <c:pt idx="71">
                  <c:v>1.1149092082867247</c:v>
                </c:pt>
                <c:pt idx="72">
                  <c:v>1.1110259802813283</c:v>
                </c:pt>
                <c:pt idx="73">
                  <c:v>1.1191431778232785</c:v>
                </c:pt>
                <c:pt idx="74">
                  <c:v>1.1126034075127724</c:v>
                </c:pt>
                <c:pt idx="75">
                  <c:v>1.1137408121942771</c:v>
                </c:pt>
                <c:pt idx="76">
                  <c:v>1.1078018666910028</c:v>
                </c:pt>
                <c:pt idx="77">
                  <c:v>1.1056424538371425</c:v>
                </c:pt>
                <c:pt idx="78">
                  <c:v>1.0924792655610593</c:v>
                </c:pt>
                <c:pt idx="79">
                  <c:v>1.0890683861256685</c:v>
                </c:pt>
                <c:pt idx="80">
                  <c:v>1.0832470854573137</c:v>
                </c:pt>
                <c:pt idx="81">
                  <c:v>1.0828500209959522</c:v>
                </c:pt>
                <c:pt idx="82">
                  <c:v>1.0863655589460253</c:v>
                </c:pt>
                <c:pt idx="83">
                  <c:v>1.0890190293224098</c:v>
                </c:pt>
                <c:pt idx="84">
                  <c:v>1.0876837096632341</c:v>
                </c:pt>
                <c:pt idx="85">
                  <c:v>1.0929381881686671</c:v>
                </c:pt>
                <c:pt idx="86">
                  <c:v>1.0890238589114372</c:v>
                </c:pt>
                <c:pt idx="87">
                  <c:v>1.0882158477990149</c:v>
                </c:pt>
                <c:pt idx="88">
                  <c:v>1.086050420036047</c:v>
                </c:pt>
                <c:pt idx="89">
                  <c:v>1.0785890331713879</c:v>
                </c:pt>
                <c:pt idx="90">
                  <c:v>1.0809757334896144</c:v>
                </c:pt>
                <c:pt idx="91">
                  <c:v>1.0762994447540501</c:v>
                </c:pt>
                <c:pt idx="92">
                  <c:v>1.0778817304919226</c:v>
                </c:pt>
                <c:pt idx="93">
                  <c:v>1.0704009061688473</c:v>
                </c:pt>
                <c:pt idx="94">
                  <c:v>1.0705164089524644</c:v>
                </c:pt>
                <c:pt idx="95">
                  <c:v>1.0719143457269675</c:v>
                </c:pt>
                <c:pt idx="96">
                  <c:v>1.0699635862251045</c:v>
                </c:pt>
                <c:pt idx="97">
                  <c:v>1.0588865423469236</c:v>
                </c:pt>
                <c:pt idx="98">
                  <c:v>1.0551145861841853</c:v>
                </c:pt>
                <c:pt idx="99">
                  <c:v>1.0328910850955499</c:v>
                </c:pt>
                <c:pt idx="100">
                  <c:v>1.034557225108764</c:v>
                </c:pt>
                <c:pt idx="101">
                  <c:v>1.0389806118595768</c:v>
                </c:pt>
                <c:pt idx="102">
                  <c:v>1.045506098192992</c:v>
                </c:pt>
                <c:pt idx="103">
                  <c:v>1.0522930135094093</c:v>
                </c:pt>
                <c:pt idx="104">
                  <c:v>1.0524152853196433</c:v>
                </c:pt>
                <c:pt idx="105">
                  <c:v>1.0555235252026272</c:v>
                </c:pt>
                <c:pt idx="106">
                  <c:v>1.0585103020544055</c:v>
                </c:pt>
                <c:pt idx="107">
                  <c:v>1.0602507227416154</c:v>
                </c:pt>
                <c:pt idx="108">
                  <c:v>1.0640483734971946</c:v>
                </c:pt>
                <c:pt idx="109">
                  <c:v>1.0592986116858403</c:v>
                </c:pt>
                <c:pt idx="110">
                  <c:v>1.0593826711999763</c:v>
                </c:pt>
                <c:pt idx="111">
                  <c:v>1.0607584179506491</c:v>
                </c:pt>
                <c:pt idx="112">
                  <c:v>1.0585664194462554</c:v>
                </c:pt>
                <c:pt idx="113">
                  <c:v>1.0524060620514755</c:v>
                </c:pt>
                <c:pt idx="114">
                  <c:v>1.0554440652207502</c:v>
                </c:pt>
                <c:pt idx="115">
                  <c:v>1.0552424286823339</c:v>
                </c:pt>
                <c:pt idx="116">
                  <c:v>1.0583417471127605</c:v>
                </c:pt>
                <c:pt idx="117">
                  <c:v>1.0571951352338615</c:v>
                </c:pt>
                <c:pt idx="118">
                  <c:v>1.0696416379191263</c:v>
                </c:pt>
                <c:pt idx="119">
                  <c:v>1.0650356966263055</c:v>
                </c:pt>
                <c:pt idx="120">
                  <c:v>1.0682891664541909</c:v>
                </c:pt>
                <c:pt idx="121">
                  <c:v>1.0678076247800004</c:v>
                </c:pt>
                <c:pt idx="122">
                  <c:v>1.0635109296082019</c:v>
                </c:pt>
                <c:pt idx="123">
                  <c:v>1.0684665098414059</c:v>
                </c:pt>
                <c:pt idx="124">
                  <c:v>1.0717271738730996</c:v>
                </c:pt>
                <c:pt idx="125">
                  <c:v>1.0637592686325981</c:v>
                </c:pt>
                <c:pt idx="126">
                  <c:v>1.0730805726940891</c:v>
                </c:pt>
                <c:pt idx="127">
                  <c:v>1.0677841047529983</c:v>
                </c:pt>
                <c:pt idx="128">
                  <c:v>1.0613398570478587</c:v>
                </c:pt>
                <c:pt idx="129">
                  <c:v>1.0699276917955594</c:v>
                </c:pt>
                <c:pt idx="130">
                  <c:v>1.0756644705644254</c:v>
                </c:pt>
                <c:pt idx="131">
                  <c:v>1.069164600007082</c:v>
                </c:pt>
                <c:pt idx="132">
                  <c:v>1.0582474878075834</c:v>
                </c:pt>
                <c:pt idx="133">
                  <c:v>1.0579482993562572</c:v>
                </c:pt>
                <c:pt idx="134">
                  <c:v>1.0579669982848086</c:v>
                </c:pt>
                <c:pt idx="135">
                  <c:v>1.0617392475699443</c:v>
                </c:pt>
                <c:pt idx="136">
                  <c:v>1.0516299695201083</c:v>
                </c:pt>
                <c:pt idx="137">
                  <c:v>1.0522176461757109</c:v>
                </c:pt>
                <c:pt idx="138">
                  <c:v>1.0670483116566656</c:v>
                </c:pt>
                <c:pt idx="139">
                  <c:v>1.0523712493249722</c:v>
                </c:pt>
                <c:pt idx="140">
                  <c:v>1.0768933233175457</c:v>
                </c:pt>
                <c:pt idx="141">
                  <c:v>1.079116399396149</c:v>
                </c:pt>
                <c:pt idx="142">
                  <c:v>1.079262753353194</c:v>
                </c:pt>
                <c:pt idx="143">
                  <c:v>1.0762810746221962</c:v>
                </c:pt>
                <c:pt idx="144">
                  <c:v>1.0720799745973215</c:v>
                </c:pt>
                <c:pt idx="145">
                  <c:v>1.0721214311025378</c:v>
                </c:pt>
                <c:pt idx="146">
                  <c:v>1.0744972192024589</c:v>
                </c:pt>
                <c:pt idx="147">
                  <c:v>1.0764510070742976</c:v>
                </c:pt>
                <c:pt idx="148">
                  <c:v>1.0712228877219574</c:v>
                </c:pt>
                <c:pt idx="149">
                  <c:v>1.0728017357612858</c:v>
                </c:pt>
                <c:pt idx="150">
                  <c:v>1.074166976815969</c:v>
                </c:pt>
                <c:pt idx="151">
                  <c:v>1.0794072712967409</c:v>
                </c:pt>
                <c:pt idx="152">
                  <c:v>1.0774555064614955</c:v>
                </c:pt>
                <c:pt idx="153">
                  <c:v>1.0780187267997023</c:v>
                </c:pt>
                <c:pt idx="154">
                  <c:v>1.079459042846195</c:v>
                </c:pt>
                <c:pt idx="155">
                  <c:v>1.0772594479382569</c:v>
                </c:pt>
                <c:pt idx="156">
                  <c:v>1.0753908897581499</c:v>
                </c:pt>
                <c:pt idx="157">
                  <c:v>1.0808699665337134</c:v>
                </c:pt>
                <c:pt idx="158">
                  <c:v>1.0780769901824394</c:v>
                </c:pt>
                <c:pt idx="159">
                  <c:v>1.0788730410381939</c:v>
                </c:pt>
                <c:pt idx="160">
                  <c:v>1.0741384754920409</c:v>
                </c:pt>
                <c:pt idx="161">
                  <c:v>1.0770031614766218</c:v>
                </c:pt>
                <c:pt idx="162">
                  <c:v>1.0766134123375086</c:v>
                </c:pt>
                <c:pt idx="163">
                  <c:v>1.077520475057689</c:v>
                </c:pt>
                <c:pt idx="164">
                  <c:v>1.0689170327566608</c:v>
                </c:pt>
                <c:pt idx="165">
                  <c:v>1.0687044428103167</c:v>
                </c:pt>
                <c:pt idx="166">
                  <c:v>1.0655705040148433</c:v>
                </c:pt>
                <c:pt idx="167">
                  <c:v>1.0719320967623509</c:v>
                </c:pt>
                <c:pt idx="168">
                  <c:v>1.0732018796110809</c:v>
                </c:pt>
                <c:pt idx="169">
                  <c:v>1.0715705883103794</c:v>
                </c:pt>
                <c:pt idx="170">
                  <c:v>1.0699643702155015</c:v>
                </c:pt>
                <c:pt idx="171">
                  <c:v>1.0711629798283506</c:v>
                </c:pt>
                <c:pt idx="172">
                  <c:v>1.0708401730696995</c:v>
                </c:pt>
                <c:pt idx="173">
                  <c:v>1.0738516257852941</c:v>
                </c:pt>
                <c:pt idx="174">
                  <c:v>1.0692977108502082</c:v>
                </c:pt>
                <c:pt idx="175">
                  <c:v>1.0729101948586388</c:v>
                </c:pt>
                <c:pt idx="176">
                  <c:v>1.0686398901141638</c:v>
                </c:pt>
                <c:pt idx="177">
                  <c:v>1.0700751267897681</c:v>
                </c:pt>
                <c:pt idx="178">
                  <c:v>1.0676927866378536</c:v>
                </c:pt>
                <c:pt idx="179">
                  <c:v>1.0686217294454794</c:v>
                </c:pt>
                <c:pt idx="180">
                  <c:v>1.0633625572540493</c:v>
                </c:pt>
                <c:pt idx="181">
                  <c:v>1.0632278076559749</c:v>
                </c:pt>
                <c:pt idx="182">
                  <c:v>1.0562185055915529</c:v>
                </c:pt>
                <c:pt idx="183">
                  <c:v>1.0528098948586546</c:v>
                </c:pt>
                <c:pt idx="184">
                  <c:v>1.0375565462719729</c:v>
                </c:pt>
                <c:pt idx="185">
                  <c:v>1.0384280868986249</c:v>
                </c:pt>
                <c:pt idx="186">
                  <c:v>1.0330750908008537</c:v>
                </c:pt>
                <c:pt idx="187">
                  <c:v>1.0399226145175371</c:v>
                </c:pt>
                <c:pt idx="188">
                  <c:v>1.0379739376167434</c:v>
                </c:pt>
                <c:pt idx="189">
                  <c:v>1.0244089352263281</c:v>
                </c:pt>
                <c:pt idx="190">
                  <c:v>1.0073762893216776</c:v>
                </c:pt>
                <c:pt idx="191">
                  <c:v>0.98960608727623001</c:v>
                </c:pt>
                <c:pt idx="192">
                  <c:v>1.0077025921525191</c:v>
                </c:pt>
                <c:pt idx="193">
                  <c:v>1.0436223771353896</c:v>
                </c:pt>
                <c:pt idx="194">
                  <c:v>1.0302583549818976</c:v>
                </c:pt>
                <c:pt idx="195">
                  <c:v>1.0319099419415414</c:v>
                </c:pt>
                <c:pt idx="196">
                  <c:v>1.0291978334572018</c:v>
                </c:pt>
                <c:pt idx="197">
                  <c:v>1.0233896624275673</c:v>
                </c:pt>
                <c:pt idx="198">
                  <c:v>1.0266476184331306</c:v>
                </c:pt>
                <c:pt idx="199">
                  <c:v>1.0235146230191794</c:v>
                </c:pt>
                <c:pt idx="200">
                  <c:v>1.025355303010699</c:v>
                </c:pt>
                <c:pt idx="201">
                  <c:v>1.0271541928936267</c:v>
                </c:pt>
                <c:pt idx="202">
                  <c:v>1.0352693798864276</c:v>
                </c:pt>
                <c:pt idx="203">
                  <c:v>1.044444602530934</c:v>
                </c:pt>
                <c:pt idx="204">
                  <c:v>1.0461622966681228</c:v>
                </c:pt>
                <c:pt idx="205">
                  <c:v>1.0428528412842213</c:v>
                </c:pt>
                <c:pt idx="206">
                  <c:v>1.0415633811982254</c:v>
                </c:pt>
                <c:pt idx="207">
                  <c:v>1.0366661142352456</c:v>
                </c:pt>
                <c:pt idx="208">
                  <c:v>1.0395778686028772</c:v>
                </c:pt>
                <c:pt idx="209">
                  <c:v>1.0367531578618308</c:v>
                </c:pt>
                <c:pt idx="210">
                  <c:v>1.0356229503232988</c:v>
                </c:pt>
                <c:pt idx="211">
                  <c:v>1.0366233981427988</c:v>
                </c:pt>
                <c:pt idx="212">
                  <c:v>1.0323365219167808</c:v>
                </c:pt>
                <c:pt idx="213">
                  <c:v>1.0325469938522618</c:v>
                </c:pt>
                <c:pt idx="214">
                  <c:v>1.0255722436041959</c:v>
                </c:pt>
                <c:pt idx="215">
                  <c:v>1.0118908701935205</c:v>
                </c:pt>
                <c:pt idx="216">
                  <c:v>1.0139763149584695</c:v>
                </c:pt>
                <c:pt idx="217">
                  <c:v>1.0079568251445439</c:v>
                </c:pt>
                <c:pt idx="218">
                  <c:v>1.011663549503925</c:v>
                </c:pt>
                <c:pt idx="219">
                  <c:v>1.0114583922411136</c:v>
                </c:pt>
                <c:pt idx="220">
                  <c:v>1.020869712922793</c:v>
                </c:pt>
                <c:pt idx="221">
                  <c:v>1.011073024740873</c:v>
                </c:pt>
                <c:pt idx="222">
                  <c:v>1.0195512550677455</c:v>
                </c:pt>
                <c:pt idx="223">
                  <c:v>1.0197207909270016</c:v>
                </c:pt>
                <c:pt idx="224">
                  <c:v>1.0292823413086478</c:v>
                </c:pt>
                <c:pt idx="225">
                  <c:v>1.0167986745108299</c:v>
                </c:pt>
                <c:pt idx="226">
                  <c:v>1.0160452012421168</c:v>
                </c:pt>
                <c:pt idx="227">
                  <c:v>1.0128705671052907</c:v>
                </c:pt>
                <c:pt idx="228">
                  <c:v>1.0131094609779066</c:v>
                </c:pt>
                <c:pt idx="229">
                  <c:v>1.0190463506293019</c:v>
                </c:pt>
                <c:pt idx="230">
                  <c:v>1.027723077687142</c:v>
                </c:pt>
                <c:pt idx="231">
                  <c:v>1.0199130742978042</c:v>
                </c:pt>
                <c:pt idx="232">
                  <c:v>1.0249761581060524</c:v>
                </c:pt>
                <c:pt idx="233">
                  <c:v>1.0342070007664823</c:v>
                </c:pt>
                <c:pt idx="234">
                  <c:v>1.0325576246609218</c:v>
                </c:pt>
                <c:pt idx="235">
                  <c:v>1.0306848309412473</c:v>
                </c:pt>
                <c:pt idx="236">
                  <c:v>1.0324968582124967</c:v>
                </c:pt>
                <c:pt idx="237">
                  <c:v>1.0324490451805768</c:v>
                </c:pt>
                <c:pt idx="238">
                  <c:v>1.0376431091075173</c:v>
                </c:pt>
                <c:pt idx="239">
                  <c:v>1.0368814944845166</c:v>
                </c:pt>
                <c:pt idx="240">
                  <c:v>1.0337969905357789</c:v>
                </c:pt>
                <c:pt idx="241">
                  <c:v>1.0272560169351674</c:v>
                </c:pt>
                <c:pt idx="242">
                  <c:v>1.0282402783550006</c:v>
                </c:pt>
                <c:pt idx="243">
                  <c:v>1.0280674025662546</c:v>
                </c:pt>
                <c:pt idx="244">
                  <c:v>1.0180272419236842</c:v>
                </c:pt>
                <c:pt idx="245">
                  <c:v>1.008365098622297</c:v>
                </c:pt>
                <c:pt idx="246">
                  <c:v>1.0111048915506031</c:v>
                </c:pt>
                <c:pt idx="247">
                  <c:v>1.0083182848931109</c:v>
                </c:pt>
                <c:pt idx="248">
                  <c:v>1.0202941299764818</c:v>
                </c:pt>
                <c:pt idx="249">
                  <c:v>1.0097864460186692</c:v>
                </c:pt>
                <c:pt idx="250">
                  <c:v>1.0199310158182464</c:v>
                </c:pt>
                <c:pt idx="251">
                  <c:v>1.0231392675381588</c:v>
                </c:pt>
                <c:pt idx="252">
                  <c:v>1.0168083714056371</c:v>
                </c:pt>
                <c:pt idx="253">
                  <c:v>1.0188481495010366</c:v>
                </c:pt>
                <c:pt idx="254">
                  <c:v>1.0144978057070895</c:v>
                </c:pt>
                <c:pt idx="255">
                  <c:v>1.0056811345404513</c:v>
                </c:pt>
                <c:pt idx="256">
                  <c:v>1.0051359318331023</c:v>
                </c:pt>
                <c:pt idx="257">
                  <c:v>1.0055139925290284</c:v>
                </c:pt>
                <c:pt idx="258">
                  <c:v>1.0118999814059921</c:v>
                </c:pt>
                <c:pt idx="259">
                  <c:v>1.0127773454145705</c:v>
                </c:pt>
                <c:pt idx="260">
                  <c:v>1.0117917776397096</c:v>
                </c:pt>
                <c:pt idx="261">
                  <c:v>1.007386189059936</c:v>
                </c:pt>
                <c:pt idx="262">
                  <c:v>1.000790950260003</c:v>
                </c:pt>
                <c:pt idx="263">
                  <c:v>0.9951905573892188</c:v>
                </c:pt>
                <c:pt idx="264">
                  <c:v>0.99702751843178072</c:v>
                </c:pt>
                <c:pt idx="265">
                  <c:v>0.99828852753577202</c:v>
                </c:pt>
                <c:pt idx="266">
                  <c:v>0.98189302498999576</c:v>
                </c:pt>
                <c:pt idx="267">
                  <c:v>0.9817371881461443</c:v>
                </c:pt>
                <c:pt idx="268">
                  <c:v>0.97668479482742931</c:v>
                </c:pt>
                <c:pt idx="269">
                  <c:v>0.98792490353176965</c:v>
                </c:pt>
                <c:pt idx="270">
                  <c:v>0.9870398991067475</c:v>
                </c:pt>
                <c:pt idx="271">
                  <c:v>0.98373398960539316</c:v>
                </c:pt>
                <c:pt idx="272">
                  <c:v>0.9802352858877057</c:v>
                </c:pt>
                <c:pt idx="273">
                  <c:v>0.97614096486260893</c:v>
                </c:pt>
                <c:pt idx="274">
                  <c:v>0.95227217077494863</c:v>
                </c:pt>
                <c:pt idx="275">
                  <c:v>0.96039311222922352</c:v>
                </c:pt>
                <c:pt idx="276">
                  <c:v>0.96226327670122247</c:v>
                </c:pt>
                <c:pt idx="277">
                  <c:v>0.95091495044979735</c:v>
                </c:pt>
                <c:pt idx="278">
                  <c:v>0.94647517884039312</c:v>
                </c:pt>
                <c:pt idx="279">
                  <c:v>0.95892956074735802</c:v>
                </c:pt>
                <c:pt idx="280">
                  <c:v>0.94447534806394273</c:v>
                </c:pt>
                <c:pt idx="281">
                  <c:v>0.9445014191964205</c:v>
                </c:pt>
                <c:pt idx="282">
                  <c:v>0.94916713784164952</c:v>
                </c:pt>
                <c:pt idx="283">
                  <c:v>0.93268669386144287</c:v>
                </c:pt>
                <c:pt idx="284">
                  <c:v>0.91617000020320982</c:v>
                </c:pt>
                <c:pt idx="285">
                  <c:v>0.89665199114947791</c:v>
                </c:pt>
                <c:pt idx="286">
                  <c:v>0.90895313702443614</c:v>
                </c:pt>
                <c:pt idx="287">
                  <c:v>0.90914210047890398</c:v>
                </c:pt>
                <c:pt idx="288">
                  <c:v>0.90980573134906972</c:v>
                </c:pt>
                <c:pt idx="289">
                  <c:v>0.92395961023526962</c:v>
                </c:pt>
                <c:pt idx="290">
                  <c:v>0.9424409070584705</c:v>
                </c:pt>
                <c:pt idx="291">
                  <c:v>0.94091413362223686</c:v>
                </c:pt>
                <c:pt idx="292">
                  <c:v>0.93592209461076559</c:v>
                </c:pt>
                <c:pt idx="293">
                  <c:v>0.95466519807682193</c:v>
                </c:pt>
                <c:pt idx="294">
                  <c:v>0.9551084422115681</c:v>
                </c:pt>
                <c:pt idx="295">
                  <c:v>0.93034822756670388</c:v>
                </c:pt>
                <c:pt idx="296">
                  <c:v>0.92481966865648335</c:v>
                </c:pt>
                <c:pt idx="297">
                  <c:v>0.93568312426497857</c:v>
                </c:pt>
                <c:pt idx="298">
                  <c:v>0.92153881501870227</c:v>
                </c:pt>
                <c:pt idx="299">
                  <c:v>0.93717676142386241</c:v>
                </c:pt>
                <c:pt idx="300">
                  <c:v>0.91689307879313664</c:v>
                </c:pt>
                <c:pt idx="301">
                  <c:v>0.91169765893759713</c:v>
                </c:pt>
                <c:pt idx="302">
                  <c:v>0.92339151381685802</c:v>
                </c:pt>
                <c:pt idx="303">
                  <c:v>0.92285969227489462</c:v>
                </c:pt>
                <c:pt idx="304">
                  <c:v>0.94445878481121381</c:v>
                </c:pt>
                <c:pt idx="305">
                  <c:v>0.92776284558527911</c:v>
                </c:pt>
                <c:pt idx="306">
                  <c:v>0.95272828598802728</c:v>
                </c:pt>
                <c:pt idx="307">
                  <c:v>0.94492549236957912</c:v>
                </c:pt>
                <c:pt idx="308">
                  <c:v>0.94407222785237588</c:v>
                </c:pt>
                <c:pt idx="309">
                  <c:v>0.95491063471978799</c:v>
                </c:pt>
                <c:pt idx="310">
                  <c:v>0.97861105577030405</c:v>
                </c:pt>
                <c:pt idx="311">
                  <c:v>0.99172647643068657</c:v>
                </c:pt>
                <c:pt idx="312">
                  <c:v>0.98971421405154647</c:v>
                </c:pt>
                <c:pt idx="313">
                  <c:v>1.0050179900919392</c:v>
                </c:pt>
                <c:pt idx="314">
                  <c:v>1.0144298232184901</c:v>
                </c:pt>
                <c:pt idx="315">
                  <c:v>1.0216470521874847</c:v>
                </c:pt>
                <c:pt idx="316">
                  <c:v>1.0110173415140102</c:v>
                </c:pt>
                <c:pt idx="317">
                  <c:v>1.0131959061843872</c:v>
                </c:pt>
                <c:pt idx="318">
                  <c:v>1.0147945187824234</c:v>
                </c:pt>
                <c:pt idx="319">
                  <c:v>1.0023764841865246</c:v>
                </c:pt>
                <c:pt idx="320">
                  <c:v>0.99355972145243765</c:v>
                </c:pt>
                <c:pt idx="321">
                  <c:v>0.98578130655378127</c:v>
                </c:pt>
                <c:pt idx="322">
                  <c:v>1.0035785434274622</c:v>
                </c:pt>
                <c:pt idx="323">
                  <c:v>1.0186190389244789</c:v>
                </c:pt>
                <c:pt idx="324">
                  <c:v>1.0041040859781782</c:v>
                </c:pt>
                <c:pt idx="325">
                  <c:v>0.99348557108653979</c:v>
                </c:pt>
                <c:pt idx="326">
                  <c:v>0.98872998439025617</c:v>
                </c:pt>
                <c:pt idx="327">
                  <c:v>1.0081527586407057</c:v>
                </c:pt>
                <c:pt idx="328">
                  <c:v>1.0059013643390289</c:v>
                </c:pt>
                <c:pt idx="329">
                  <c:v>1.0136403047293197</c:v>
                </c:pt>
                <c:pt idx="330">
                  <c:v>1.0201302159985595</c:v>
                </c:pt>
                <c:pt idx="331">
                  <c:v>1.0271197794615965</c:v>
                </c:pt>
                <c:pt idx="332">
                  <c:v>1.0065940234678021</c:v>
                </c:pt>
                <c:pt idx="333">
                  <c:v>1.0209676018588656</c:v>
                </c:pt>
                <c:pt idx="334">
                  <c:v>1.031963354796853</c:v>
                </c:pt>
                <c:pt idx="335">
                  <c:v>1.021282767797175</c:v>
                </c:pt>
                <c:pt idx="336">
                  <c:v>1.0259236718644251</c:v>
                </c:pt>
                <c:pt idx="337">
                  <c:v>1.0253300494752864</c:v>
                </c:pt>
                <c:pt idx="338">
                  <c:v>1.0254592892581638</c:v>
                </c:pt>
                <c:pt idx="339">
                  <c:v>1.0242371996286725</c:v>
                </c:pt>
                <c:pt idx="340">
                  <c:v>1.025472139820232</c:v>
                </c:pt>
                <c:pt idx="341">
                  <c:v>1.0216619113026173</c:v>
                </c:pt>
                <c:pt idx="342">
                  <c:v>1.0227849783314813</c:v>
                </c:pt>
                <c:pt idx="343">
                  <c:v>1.0066225936725788</c:v>
                </c:pt>
                <c:pt idx="344">
                  <c:v>1.0079619728824909</c:v>
                </c:pt>
                <c:pt idx="345">
                  <c:v>0.99305865905775192</c:v>
                </c:pt>
                <c:pt idx="346">
                  <c:v>1.0042660570156889</c:v>
                </c:pt>
                <c:pt idx="347">
                  <c:v>1.0182564184614722</c:v>
                </c:pt>
                <c:pt idx="348">
                  <c:v>1.0214845183019885</c:v>
                </c:pt>
                <c:pt idx="349">
                  <c:v>1.0199738716104974</c:v>
                </c:pt>
                <c:pt idx="350">
                  <c:v>1.0297966612446436</c:v>
                </c:pt>
                <c:pt idx="351">
                  <c:v>1.0301442918799504</c:v>
                </c:pt>
                <c:pt idx="352">
                  <c:v>1.0312763799164437</c:v>
                </c:pt>
                <c:pt idx="353">
                  <c:v>1.0348217564705084</c:v>
                </c:pt>
                <c:pt idx="354">
                  <c:v>1.0320936844189887</c:v>
                </c:pt>
                <c:pt idx="355">
                  <c:v>1.0202198386202812</c:v>
                </c:pt>
                <c:pt idx="356">
                  <c:v>1.0250298088989722</c:v>
                </c:pt>
                <c:pt idx="357">
                  <c:v>1.0254794943583452</c:v>
                </c:pt>
                <c:pt idx="358">
                  <c:v>1.0136395609640214</c:v>
                </c:pt>
                <c:pt idx="359">
                  <c:v>1.0161936605594213</c:v>
                </c:pt>
                <c:pt idx="360">
                  <c:v>1.0181067752740205</c:v>
                </c:pt>
                <c:pt idx="361">
                  <c:v>1.0070763783453822</c:v>
                </c:pt>
                <c:pt idx="362">
                  <c:v>0.99044884112287956</c:v>
                </c:pt>
                <c:pt idx="363">
                  <c:v>0.99627421770417612</c:v>
                </c:pt>
                <c:pt idx="364">
                  <c:v>0.99769530087442093</c:v>
                </c:pt>
                <c:pt idx="365">
                  <c:v>0.99742477935812324</c:v>
                </c:pt>
                <c:pt idx="366">
                  <c:v>0.99285430511583384</c:v>
                </c:pt>
                <c:pt idx="367">
                  <c:v>0.97800152912096872</c:v>
                </c:pt>
                <c:pt idx="368">
                  <c:v>0.98271782755036652</c:v>
                </c:pt>
                <c:pt idx="369">
                  <c:v>0.98954324168497143</c:v>
                </c:pt>
                <c:pt idx="370">
                  <c:v>0.98826773781131094</c:v>
                </c:pt>
                <c:pt idx="371">
                  <c:v>0.98754260706427721</c:v>
                </c:pt>
                <c:pt idx="372">
                  <c:v>0.97872422072876764</c:v>
                </c:pt>
                <c:pt idx="373">
                  <c:v>0.97068854251954706</c:v>
                </c:pt>
                <c:pt idx="374">
                  <c:v>0.9742767763334923</c:v>
                </c:pt>
                <c:pt idx="375">
                  <c:v>0.95598696819967799</c:v>
                </c:pt>
                <c:pt idx="376">
                  <c:v>0.9416716996194574</c:v>
                </c:pt>
                <c:pt idx="377">
                  <c:v>0.93969777212874117</c:v>
                </c:pt>
                <c:pt idx="378">
                  <c:v>0.92062225025876687</c:v>
                </c:pt>
                <c:pt idx="379">
                  <c:v>0.91938936845068198</c:v>
                </c:pt>
                <c:pt idx="380">
                  <c:v>0.94505548627561176</c:v>
                </c:pt>
                <c:pt idx="381">
                  <c:v>0.94552126692397853</c:v>
                </c:pt>
                <c:pt idx="382">
                  <c:v>0.94888424119619375</c:v>
                </c:pt>
                <c:pt idx="383">
                  <c:v>0.9509328941296793</c:v>
                </c:pt>
                <c:pt idx="384">
                  <c:v>0.96325133315010159</c:v>
                </c:pt>
                <c:pt idx="385">
                  <c:v>0.95868551955173986</c:v>
                </c:pt>
                <c:pt idx="386">
                  <c:v>0.97484972415429239</c:v>
                </c:pt>
                <c:pt idx="387">
                  <c:v>0.97741072971232579</c:v>
                </c:pt>
                <c:pt idx="388">
                  <c:v>0.96870536241356797</c:v>
                </c:pt>
                <c:pt idx="389">
                  <c:v>0.95587401829699026</c:v>
                </c:pt>
                <c:pt idx="390">
                  <c:v>0.95996366414997714</c:v>
                </c:pt>
                <c:pt idx="391">
                  <c:v>0.95547662585136361</c:v>
                </c:pt>
                <c:pt idx="392">
                  <c:v>0.95019867071140762</c:v>
                </c:pt>
                <c:pt idx="393">
                  <c:v>0.96409623394100441</c:v>
                </c:pt>
                <c:pt idx="394">
                  <c:v>0.93901321377673375</c:v>
                </c:pt>
                <c:pt idx="395">
                  <c:v>0.95434279202113581</c:v>
                </c:pt>
                <c:pt idx="396">
                  <c:v>0.95317800850667078</c:v>
                </c:pt>
                <c:pt idx="397">
                  <c:v>0.93488503883820151</c:v>
                </c:pt>
                <c:pt idx="398">
                  <c:v>0.96446144667115785</c:v>
                </c:pt>
                <c:pt idx="399">
                  <c:v>0.9728531464805974</c:v>
                </c:pt>
                <c:pt idx="400">
                  <c:v>0.97224439045592526</c:v>
                </c:pt>
                <c:pt idx="401">
                  <c:v>0.94794665429378222</c:v>
                </c:pt>
                <c:pt idx="402">
                  <c:v>0.90891280889779469</c:v>
                </c:pt>
                <c:pt idx="403">
                  <c:v>0.92243481649336001</c:v>
                </c:pt>
                <c:pt idx="404">
                  <c:v>0.96184848240064058</c:v>
                </c:pt>
                <c:pt idx="405">
                  <c:v>0.99369946460358483</c:v>
                </c:pt>
                <c:pt idx="406">
                  <c:v>1.0147995747203855</c:v>
                </c:pt>
                <c:pt idx="407">
                  <c:v>1.0230545391443977</c:v>
                </c:pt>
                <c:pt idx="408">
                  <c:v>1.0256800599678217</c:v>
                </c:pt>
                <c:pt idx="409">
                  <c:v>1.0204685889942806</c:v>
                </c:pt>
                <c:pt idx="410">
                  <c:v>1.0165566953977865</c:v>
                </c:pt>
                <c:pt idx="411">
                  <c:v>1.0178318326188505</c:v>
                </c:pt>
                <c:pt idx="412">
                  <c:v>1.0168817685615013</c:v>
                </c:pt>
                <c:pt idx="413">
                  <c:v>1.0264389357240065</c:v>
                </c:pt>
                <c:pt idx="414">
                  <c:v>1.0136307030290794</c:v>
                </c:pt>
                <c:pt idx="415">
                  <c:v>1.0165055902413505</c:v>
                </c:pt>
                <c:pt idx="416">
                  <c:v>1.0242585618963336</c:v>
                </c:pt>
                <c:pt idx="417">
                  <c:v>1.0211438923761458</c:v>
                </c:pt>
                <c:pt idx="418">
                  <c:v>1.0233936111612976</c:v>
                </c:pt>
                <c:pt idx="419">
                  <c:v>1.0261504748011183</c:v>
                </c:pt>
                <c:pt idx="420">
                  <c:v>1.0284220919174452</c:v>
                </c:pt>
                <c:pt idx="421">
                  <c:v>1.0283936366136137</c:v>
                </c:pt>
                <c:pt idx="422">
                  <c:v>1.0210748739240159</c:v>
                </c:pt>
                <c:pt idx="423">
                  <c:v>1.0086887718946489</c:v>
                </c:pt>
                <c:pt idx="424">
                  <c:v>1.0144637821127143</c:v>
                </c:pt>
                <c:pt idx="425">
                  <c:v>1.0251671096583221</c:v>
                </c:pt>
                <c:pt idx="426">
                  <c:v>1.0308431496744044</c:v>
                </c:pt>
                <c:pt idx="427">
                  <c:v>1.0332308318767343</c:v>
                </c:pt>
                <c:pt idx="428">
                  <c:v>1.0374924891774655</c:v>
                </c:pt>
                <c:pt idx="429">
                  <c:v>1.0367213196330196</c:v>
                </c:pt>
                <c:pt idx="430">
                  <c:v>1.035615067661773</c:v>
                </c:pt>
                <c:pt idx="431">
                  <c:v>1.0276004524961664</c:v>
                </c:pt>
                <c:pt idx="432">
                  <c:v>1.0283354153923945</c:v>
                </c:pt>
                <c:pt idx="433">
                  <c:v>1.0238821862058831</c:v>
                </c:pt>
                <c:pt idx="434">
                  <c:v>1.0128161269364933</c:v>
                </c:pt>
                <c:pt idx="435">
                  <c:v>1.0004776700479683</c:v>
                </c:pt>
                <c:pt idx="436">
                  <c:v>0.99821546980171583</c:v>
                </c:pt>
                <c:pt idx="437">
                  <c:v>1.0148682031369711</c:v>
                </c:pt>
                <c:pt idx="438">
                  <c:v>1.0087872657638588</c:v>
                </c:pt>
                <c:pt idx="439">
                  <c:v>1.0126490132768358</c:v>
                </c:pt>
                <c:pt idx="440">
                  <c:v>1.0129570877153218</c:v>
                </c:pt>
                <c:pt idx="441">
                  <c:v>1.0060209573102536</c:v>
                </c:pt>
                <c:pt idx="442">
                  <c:v>1.0033625719755981</c:v>
                </c:pt>
                <c:pt idx="443">
                  <c:v>1.0242287193281907</c:v>
                </c:pt>
                <c:pt idx="444">
                  <c:v>1.0246187664668147</c:v>
                </c:pt>
                <c:pt idx="445">
                  <c:v>1.0275923316149238</c:v>
                </c:pt>
                <c:pt idx="446">
                  <c:v>1.0349456881726868</c:v>
                </c:pt>
                <c:pt idx="447">
                  <c:v>1.0343097506358849</c:v>
                </c:pt>
                <c:pt idx="448">
                  <c:v>1.0282149350206451</c:v>
                </c:pt>
                <c:pt idx="449">
                  <c:v>1.0335184367460508</c:v>
                </c:pt>
                <c:pt idx="450">
                  <c:v>1.0236157496900056</c:v>
                </c:pt>
                <c:pt idx="451">
                  <c:v>1.0216360617651477</c:v>
                </c:pt>
                <c:pt idx="452">
                  <c:v>1.0159462568784399</c:v>
                </c:pt>
                <c:pt idx="453">
                  <c:v>1.0205687456684274</c:v>
                </c:pt>
                <c:pt idx="454">
                  <c:v>1.0275630459064709</c:v>
                </c:pt>
                <c:pt idx="455">
                  <c:v>1.0258244937499059</c:v>
                </c:pt>
                <c:pt idx="456">
                  <c:v>1.0137820929615011</c:v>
                </c:pt>
                <c:pt idx="457">
                  <c:v>1.0133636788950935</c:v>
                </c:pt>
                <c:pt idx="458">
                  <c:v>1.0198381655949209</c:v>
                </c:pt>
                <c:pt idx="459">
                  <c:v>1.0212743439291452</c:v>
                </c:pt>
                <c:pt idx="460">
                  <c:v>1.0298975210235648</c:v>
                </c:pt>
                <c:pt idx="461">
                  <c:v>1.0277786359268637</c:v>
                </c:pt>
                <c:pt idx="462">
                  <c:v>1.0287872876010833</c:v>
                </c:pt>
                <c:pt idx="463">
                  <c:v>1.0267278681296044</c:v>
                </c:pt>
                <c:pt idx="464">
                  <c:v>1.0330462683483908</c:v>
                </c:pt>
                <c:pt idx="465">
                  <c:v>1.0343130568276795</c:v>
                </c:pt>
                <c:pt idx="466">
                  <c:v>1.0251504297009801</c:v>
                </c:pt>
                <c:pt idx="467">
                  <c:v>1.0354323596559203</c:v>
                </c:pt>
                <c:pt idx="468">
                  <c:v>1.0376662414479068</c:v>
                </c:pt>
                <c:pt idx="469">
                  <c:v>1.0353283530738442</c:v>
                </c:pt>
                <c:pt idx="470">
                  <c:v>1.0362588785387543</c:v>
                </c:pt>
                <c:pt idx="471">
                  <c:v>1.0369023126924271</c:v>
                </c:pt>
                <c:pt idx="472">
                  <c:v>1.0338543508696802</c:v>
                </c:pt>
                <c:pt idx="473">
                  <c:v>1.0330858816791659</c:v>
                </c:pt>
                <c:pt idx="474">
                  <c:v>1.0223066509979111</c:v>
                </c:pt>
                <c:pt idx="475">
                  <c:v>1.0226115406659626</c:v>
                </c:pt>
                <c:pt idx="476">
                  <c:v>1.0255611970143734</c:v>
                </c:pt>
                <c:pt idx="477">
                  <c:v>1.0306507485478549</c:v>
                </c:pt>
                <c:pt idx="478">
                  <c:v>1.0171928941417248</c:v>
                </c:pt>
                <c:pt idx="479">
                  <c:v>1.0134191278267957</c:v>
                </c:pt>
                <c:pt idx="480">
                  <c:v>1.0178748245139779</c:v>
                </c:pt>
                <c:pt idx="481">
                  <c:v>1.0297121942816285</c:v>
                </c:pt>
                <c:pt idx="482">
                  <c:v>1.0267714223764353</c:v>
                </c:pt>
                <c:pt idx="483">
                  <c:v>1.0158484347139454</c:v>
                </c:pt>
                <c:pt idx="484">
                  <c:v>1.0259773000816743</c:v>
                </c:pt>
                <c:pt idx="485">
                  <c:v>1.0297176772403116</c:v>
                </c:pt>
                <c:pt idx="486">
                  <c:v>1.0269484873231978</c:v>
                </c:pt>
                <c:pt idx="487">
                  <c:v>1.0310897922356261</c:v>
                </c:pt>
                <c:pt idx="488">
                  <c:v>1.0288369963550239</c:v>
                </c:pt>
                <c:pt idx="489">
                  <c:v>1.0264792666068314</c:v>
                </c:pt>
                <c:pt idx="490">
                  <c:v>1.0213917489054167</c:v>
                </c:pt>
                <c:pt idx="491">
                  <c:v>1.0228724192539218</c:v>
                </c:pt>
                <c:pt idx="492">
                  <c:v>1.0136372738075883</c:v>
                </c:pt>
                <c:pt idx="493">
                  <c:v>1.0249484914380758</c:v>
                </c:pt>
                <c:pt idx="494">
                  <c:v>1.0257269860004814</c:v>
                </c:pt>
                <c:pt idx="495">
                  <c:v>1.0205786922375988</c:v>
                </c:pt>
                <c:pt idx="496">
                  <c:v>1.0189490080904586</c:v>
                </c:pt>
                <c:pt idx="497">
                  <c:v>1.0235302284171857</c:v>
                </c:pt>
                <c:pt idx="498">
                  <c:v>1.0183274242587679</c:v>
                </c:pt>
                <c:pt idx="499">
                  <c:v>1.0138699575216528</c:v>
                </c:pt>
                <c:pt idx="500">
                  <c:v>1.0111873396333593</c:v>
                </c:pt>
                <c:pt idx="501">
                  <c:v>1.0132492250329035</c:v>
                </c:pt>
                <c:pt idx="502">
                  <c:v>1.0066404856281741</c:v>
                </c:pt>
                <c:pt idx="503">
                  <c:v>1.0031108282525496</c:v>
                </c:pt>
                <c:pt idx="504">
                  <c:v>1.0070762229302161</c:v>
                </c:pt>
                <c:pt idx="505">
                  <c:v>1.0158719511302317</c:v>
                </c:pt>
                <c:pt idx="506">
                  <c:v>1.0036352916121292</c:v>
                </c:pt>
                <c:pt idx="507">
                  <c:v>1.001266787368762</c:v>
                </c:pt>
                <c:pt idx="508">
                  <c:v>1.0036442163491359</c:v>
                </c:pt>
                <c:pt idx="509">
                  <c:v>1.0182031453474623</c:v>
                </c:pt>
                <c:pt idx="510">
                  <c:v>1.0243426042007329</c:v>
                </c:pt>
                <c:pt idx="511">
                  <c:v>1.0260882519404033</c:v>
                </c:pt>
                <c:pt idx="512">
                  <c:v>1.0170755345797944</c:v>
                </c:pt>
                <c:pt idx="513">
                  <c:v>1.0219481232913923</c:v>
                </c:pt>
                <c:pt idx="514">
                  <c:v>1.0097896875932224</c:v>
                </c:pt>
                <c:pt idx="515">
                  <c:v>1.0131099034312765</c:v>
                </c:pt>
                <c:pt idx="516">
                  <c:v>0.99957625192645505</c:v>
                </c:pt>
                <c:pt idx="517">
                  <c:v>1.0056509391163675</c:v>
                </c:pt>
                <c:pt idx="518">
                  <c:v>0.9930494804644443</c:v>
                </c:pt>
                <c:pt idx="519">
                  <c:v>0.99496713857339847</c:v>
                </c:pt>
                <c:pt idx="520">
                  <c:v>1.0119285174127919</c:v>
                </c:pt>
                <c:pt idx="521">
                  <c:v>1.0079840584844106</c:v>
                </c:pt>
                <c:pt idx="522">
                  <c:v>1.0221579913938266</c:v>
                </c:pt>
                <c:pt idx="523">
                  <c:v>1.0209619160458447</c:v>
                </c:pt>
                <c:pt idx="524">
                  <c:v>1.025350419589858</c:v>
                </c:pt>
                <c:pt idx="525">
                  <c:v>1.0298890260818125</c:v>
                </c:pt>
                <c:pt idx="526">
                  <c:v>1.0237640557800782</c:v>
                </c:pt>
                <c:pt idx="527">
                  <c:v>1.0267203649417938</c:v>
                </c:pt>
                <c:pt idx="528">
                  <c:v>1.0281963378066004</c:v>
                </c:pt>
                <c:pt idx="529">
                  <c:v>1.0289621214585374</c:v>
                </c:pt>
                <c:pt idx="530">
                  <c:v>1.026203383083633</c:v>
                </c:pt>
                <c:pt idx="531">
                  <c:v>1.0265066574995929</c:v>
                </c:pt>
                <c:pt idx="532">
                  <c:v>1.0203801705749935</c:v>
                </c:pt>
                <c:pt idx="533">
                  <c:v>1.0214422371756187</c:v>
                </c:pt>
                <c:pt idx="534">
                  <c:v>1.0217564720137879</c:v>
                </c:pt>
                <c:pt idx="535">
                  <c:v>1.020158944128581</c:v>
                </c:pt>
                <c:pt idx="536">
                  <c:v>1.0160842103509058</c:v>
                </c:pt>
                <c:pt idx="537">
                  <c:v>1.0064396801773046</c:v>
                </c:pt>
                <c:pt idx="538">
                  <c:v>1.0064686854417602</c:v>
                </c:pt>
                <c:pt idx="539">
                  <c:v>0.99579317218653474</c:v>
                </c:pt>
                <c:pt idx="540">
                  <c:v>1.0000403759890713</c:v>
                </c:pt>
                <c:pt idx="541">
                  <c:v>1.003458524661569</c:v>
                </c:pt>
                <c:pt idx="542">
                  <c:v>0.9931671227090928</c:v>
                </c:pt>
                <c:pt idx="543">
                  <c:v>0.99732315945001848</c:v>
                </c:pt>
                <c:pt idx="544">
                  <c:v>0.98288369090955263</c:v>
                </c:pt>
                <c:pt idx="545">
                  <c:v>0.96992121991972313</c:v>
                </c:pt>
                <c:pt idx="546">
                  <c:v>0.9829131803402551</c:v>
                </c:pt>
                <c:pt idx="547">
                  <c:v>0.97337847781897802</c:v>
                </c:pt>
                <c:pt idx="548">
                  <c:v>0.98687408029243251</c:v>
                </c:pt>
                <c:pt idx="549">
                  <c:v>1.0002619242856463</c:v>
                </c:pt>
                <c:pt idx="550">
                  <c:v>0.99769347286203214</c:v>
                </c:pt>
                <c:pt idx="551">
                  <c:v>1.0031850755084708</c:v>
                </c:pt>
                <c:pt idx="552">
                  <c:v>0.98791530797505733</c:v>
                </c:pt>
                <c:pt idx="553">
                  <c:v>0.98318365733601265</c:v>
                </c:pt>
                <c:pt idx="554">
                  <c:v>0.98163370735037336</c:v>
                </c:pt>
                <c:pt idx="555">
                  <c:v>0.96820950765850267</c:v>
                </c:pt>
                <c:pt idx="556">
                  <c:v>0.977457395808776</c:v>
                </c:pt>
                <c:pt idx="557">
                  <c:v>0.98327045839311733</c:v>
                </c:pt>
                <c:pt idx="558">
                  <c:v>0.98584902327138724</c:v>
                </c:pt>
                <c:pt idx="559">
                  <c:v>0.99394268478517089</c:v>
                </c:pt>
                <c:pt idx="560">
                  <c:v>1.0023465758885877</c:v>
                </c:pt>
                <c:pt idx="561">
                  <c:v>0.98445822996825605</c:v>
                </c:pt>
                <c:pt idx="562">
                  <c:v>0.97282840688737648</c:v>
                </c:pt>
                <c:pt idx="563">
                  <c:v>0.98172189291614043</c:v>
                </c:pt>
                <c:pt idx="564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3+4'!$N$2</c:f>
              <c:strCache>
                <c:ptCount val="1"/>
                <c:pt idx="0">
                  <c:v>Eurostoxx 50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3+4'!$L$3:$L$567</c:f>
              <c:numCache>
                <c:formatCode>m/d/yyyy</c:formatCode>
                <c:ptCount val="565"/>
                <c:pt idx="0">
                  <c:v>42824</c:v>
                </c:pt>
                <c:pt idx="1">
                  <c:v>42823</c:v>
                </c:pt>
                <c:pt idx="2">
                  <c:v>42822</c:v>
                </c:pt>
                <c:pt idx="3">
                  <c:v>42821</c:v>
                </c:pt>
                <c:pt idx="4">
                  <c:v>42818</c:v>
                </c:pt>
                <c:pt idx="5">
                  <c:v>42817</c:v>
                </c:pt>
                <c:pt idx="6">
                  <c:v>42816</c:v>
                </c:pt>
                <c:pt idx="7">
                  <c:v>42815</c:v>
                </c:pt>
                <c:pt idx="8">
                  <c:v>42814</c:v>
                </c:pt>
                <c:pt idx="9">
                  <c:v>42811</c:v>
                </c:pt>
                <c:pt idx="10">
                  <c:v>42810</c:v>
                </c:pt>
                <c:pt idx="11">
                  <c:v>42809</c:v>
                </c:pt>
                <c:pt idx="12">
                  <c:v>42808</c:v>
                </c:pt>
                <c:pt idx="13">
                  <c:v>42807</c:v>
                </c:pt>
                <c:pt idx="14">
                  <c:v>42804</c:v>
                </c:pt>
                <c:pt idx="15">
                  <c:v>42803</c:v>
                </c:pt>
                <c:pt idx="16">
                  <c:v>42802</c:v>
                </c:pt>
                <c:pt idx="17">
                  <c:v>42801</c:v>
                </c:pt>
                <c:pt idx="18">
                  <c:v>42800</c:v>
                </c:pt>
                <c:pt idx="19">
                  <c:v>42797</c:v>
                </c:pt>
                <c:pt idx="20">
                  <c:v>42796</c:v>
                </c:pt>
                <c:pt idx="21">
                  <c:v>42795</c:v>
                </c:pt>
                <c:pt idx="22">
                  <c:v>42794</c:v>
                </c:pt>
                <c:pt idx="23">
                  <c:v>42793</c:v>
                </c:pt>
                <c:pt idx="24">
                  <c:v>42790</c:v>
                </c:pt>
                <c:pt idx="25">
                  <c:v>42789</c:v>
                </c:pt>
                <c:pt idx="26">
                  <c:v>42788</c:v>
                </c:pt>
                <c:pt idx="27">
                  <c:v>42787</c:v>
                </c:pt>
                <c:pt idx="28">
                  <c:v>42783</c:v>
                </c:pt>
                <c:pt idx="29">
                  <c:v>42782</c:v>
                </c:pt>
                <c:pt idx="30">
                  <c:v>42781</c:v>
                </c:pt>
                <c:pt idx="31">
                  <c:v>42780</c:v>
                </c:pt>
                <c:pt idx="32">
                  <c:v>42779</c:v>
                </c:pt>
                <c:pt idx="33">
                  <c:v>42776</c:v>
                </c:pt>
                <c:pt idx="34">
                  <c:v>42775</c:v>
                </c:pt>
                <c:pt idx="35">
                  <c:v>42774</c:v>
                </c:pt>
                <c:pt idx="36">
                  <c:v>42773</c:v>
                </c:pt>
                <c:pt idx="37">
                  <c:v>42772</c:v>
                </c:pt>
                <c:pt idx="38">
                  <c:v>42769</c:v>
                </c:pt>
                <c:pt idx="39">
                  <c:v>42768</c:v>
                </c:pt>
                <c:pt idx="40">
                  <c:v>42767</c:v>
                </c:pt>
                <c:pt idx="41">
                  <c:v>42766</c:v>
                </c:pt>
                <c:pt idx="42">
                  <c:v>42765</c:v>
                </c:pt>
                <c:pt idx="43">
                  <c:v>42762</c:v>
                </c:pt>
                <c:pt idx="44">
                  <c:v>42761</c:v>
                </c:pt>
                <c:pt idx="45">
                  <c:v>42760</c:v>
                </c:pt>
                <c:pt idx="46">
                  <c:v>42759</c:v>
                </c:pt>
                <c:pt idx="47">
                  <c:v>42758</c:v>
                </c:pt>
                <c:pt idx="48">
                  <c:v>42755</c:v>
                </c:pt>
                <c:pt idx="49">
                  <c:v>42754</c:v>
                </c:pt>
                <c:pt idx="50">
                  <c:v>42753</c:v>
                </c:pt>
                <c:pt idx="51">
                  <c:v>42752</c:v>
                </c:pt>
                <c:pt idx="52">
                  <c:v>42748</c:v>
                </c:pt>
                <c:pt idx="53">
                  <c:v>42747</c:v>
                </c:pt>
                <c:pt idx="54">
                  <c:v>42746</c:v>
                </c:pt>
                <c:pt idx="55">
                  <c:v>42745</c:v>
                </c:pt>
                <c:pt idx="56">
                  <c:v>42744</c:v>
                </c:pt>
                <c:pt idx="57">
                  <c:v>42741</c:v>
                </c:pt>
                <c:pt idx="58">
                  <c:v>42740</c:v>
                </c:pt>
                <c:pt idx="59">
                  <c:v>42739</c:v>
                </c:pt>
                <c:pt idx="60">
                  <c:v>42738</c:v>
                </c:pt>
                <c:pt idx="61">
                  <c:v>42734</c:v>
                </c:pt>
                <c:pt idx="62">
                  <c:v>42733</c:v>
                </c:pt>
                <c:pt idx="63">
                  <c:v>42732</c:v>
                </c:pt>
                <c:pt idx="64">
                  <c:v>42731</c:v>
                </c:pt>
                <c:pt idx="65">
                  <c:v>42727</c:v>
                </c:pt>
                <c:pt idx="66">
                  <c:v>42726</c:v>
                </c:pt>
                <c:pt idx="67">
                  <c:v>42725</c:v>
                </c:pt>
                <c:pt idx="68">
                  <c:v>42724</c:v>
                </c:pt>
                <c:pt idx="69">
                  <c:v>42723</c:v>
                </c:pt>
                <c:pt idx="70">
                  <c:v>42720</c:v>
                </c:pt>
                <c:pt idx="71">
                  <c:v>42719</c:v>
                </c:pt>
                <c:pt idx="72">
                  <c:v>42718</c:v>
                </c:pt>
                <c:pt idx="73">
                  <c:v>42717</c:v>
                </c:pt>
                <c:pt idx="74">
                  <c:v>42716</c:v>
                </c:pt>
                <c:pt idx="75">
                  <c:v>42713</c:v>
                </c:pt>
                <c:pt idx="76">
                  <c:v>42712</c:v>
                </c:pt>
                <c:pt idx="77">
                  <c:v>42711</c:v>
                </c:pt>
                <c:pt idx="78">
                  <c:v>42710</c:v>
                </c:pt>
                <c:pt idx="79">
                  <c:v>42709</c:v>
                </c:pt>
                <c:pt idx="80">
                  <c:v>42706</c:v>
                </c:pt>
                <c:pt idx="81">
                  <c:v>42705</c:v>
                </c:pt>
                <c:pt idx="82">
                  <c:v>42704</c:v>
                </c:pt>
                <c:pt idx="83">
                  <c:v>42703</c:v>
                </c:pt>
                <c:pt idx="84">
                  <c:v>42702</c:v>
                </c:pt>
                <c:pt idx="85">
                  <c:v>42699</c:v>
                </c:pt>
                <c:pt idx="86">
                  <c:v>42697</c:v>
                </c:pt>
                <c:pt idx="87">
                  <c:v>42696</c:v>
                </c:pt>
                <c:pt idx="88">
                  <c:v>42695</c:v>
                </c:pt>
                <c:pt idx="89">
                  <c:v>42692</c:v>
                </c:pt>
                <c:pt idx="90">
                  <c:v>42691</c:v>
                </c:pt>
                <c:pt idx="91">
                  <c:v>42690</c:v>
                </c:pt>
                <c:pt idx="92">
                  <c:v>42689</c:v>
                </c:pt>
                <c:pt idx="93">
                  <c:v>42688</c:v>
                </c:pt>
                <c:pt idx="94">
                  <c:v>42685</c:v>
                </c:pt>
                <c:pt idx="95">
                  <c:v>42684</c:v>
                </c:pt>
                <c:pt idx="96">
                  <c:v>42683</c:v>
                </c:pt>
                <c:pt idx="97">
                  <c:v>42682</c:v>
                </c:pt>
                <c:pt idx="98">
                  <c:v>42681</c:v>
                </c:pt>
                <c:pt idx="99">
                  <c:v>42678</c:v>
                </c:pt>
                <c:pt idx="100">
                  <c:v>42677</c:v>
                </c:pt>
                <c:pt idx="101">
                  <c:v>42676</c:v>
                </c:pt>
                <c:pt idx="102">
                  <c:v>42675</c:v>
                </c:pt>
                <c:pt idx="103">
                  <c:v>42674</c:v>
                </c:pt>
                <c:pt idx="104">
                  <c:v>42671</c:v>
                </c:pt>
                <c:pt idx="105">
                  <c:v>42670</c:v>
                </c:pt>
                <c:pt idx="106">
                  <c:v>42669</c:v>
                </c:pt>
                <c:pt idx="107">
                  <c:v>42668</c:v>
                </c:pt>
                <c:pt idx="108">
                  <c:v>42667</c:v>
                </c:pt>
                <c:pt idx="109">
                  <c:v>42664</c:v>
                </c:pt>
                <c:pt idx="110">
                  <c:v>42663</c:v>
                </c:pt>
                <c:pt idx="111">
                  <c:v>42662</c:v>
                </c:pt>
                <c:pt idx="112">
                  <c:v>42661</c:v>
                </c:pt>
                <c:pt idx="113">
                  <c:v>42660</c:v>
                </c:pt>
                <c:pt idx="114">
                  <c:v>42657</c:v>
                </c:pt>
                <c:pt idx="115">
                  <c:v>42656</c:v>
                </c:pt>
                <c:pt idx="116">
                  <c:v>42655</c:v>
                </c:pt>
                <c:pt idx="117">
                  <c:v>42654</c:v>
                </c:pt>
                <c:pt idx="118">
                  <c:v>42653</c:v>
                </c:pt>
                <c:pt idx="119">
                  <c:v>42650</c:v>
                </c:pt>
                <c:pt idx="120">
                  <c:v>42649</c:v>
                </c:pt>
                <c:pt idx="121">
                  <c:v>42648</c:v>
                </c:pt>
                <c:pt idx="122">
                  <c:v>42647</c:v>
                </c:pt>
                <c:pt idx="123">
                  <c:v>42646</c:v>
                </c:pt>
                <c:pt idx="124">
                  <c:v>42643</c:v>
                </c:pt>
                <c:pt idx="125">
                  <c:v>42642</c:v>
                </c:pt>
                <c:pt idx="126">
                  <c:v>42641</c:v>
                </c:pt>
                <c:pt idx="127">
                  <c:v>42640</c:v>
                </c:pt>
                <c:pt idx="128">
                  <c:v>42639</c:v>
                </c:pt>
                <c:pt idx="129">
                  <c:v>42636</c:v>
                </c:pt>
                <c:pt idx="130">
                  <c:v>42635</c:v>
                </c:pt>
                <c:pt idx="131">
                  <c:v>42634</c:v>
                </c:pt>
                <c:pt idx="132">
                  <c:v>42633</c:v>
                </c:pt>
                <c:pt idx="133">
                  <c:v>42632</c:v>
                </c:pt>
                <c:pt idx="134">
                  <c:v>42629</c:v>
                </c:pt>
                <c:pt idx="135">
                  <c:v>42628</c:v>
                </c:pt>
                <c:pt idx="136">
                  <c:v>42627</c:v>
                </c:pt>
                <c:pt idx="137">
                  <c:v>42626</c:v>
                </c:pt>
                <c:pt idx="138">
                  <c:v>42625</c:v>
                </c:pt>
                <c:pt idx="139">
                  <c:v>42622</c:v>
                </c:pt>
                <c:pt idx="140">
                  <c:v>42621</c:v>
                </c:pt>
                <c:pt idx="141">
                  <c:v>42620</c:v>
                </c:pt>
                <c:pt idx="142">
                  <c:v>42619</c:v>
                </c:pt>
                <c:pt idx="143">
                  <c:v>42615</c:v>
                </c:pt>
                <c:pt idx="144">
                  <c:v>42614</c:v>
                </c:pt>
                <c:pt idx="145">
                  <c:v>42613</c:v>
                </c:pt>
                <c:pt idx="146">
                  <c:v>42612</c:v>
                </c:pt>
                <c:pt idx="147">
                  <c:v>42611</c:v>
                </c:pt>
                <c:pt idx="148">
                  <c:v>42608</c:v>
                </c:pt>
                <c:pt idx="149">
                  <c:v>42607</c:v>
                </c:pt>
                <c:pt idx="150">
                  <c:v>42606</c:v>
                </c:pt>
                <c:pt idx="151">
                  <c:v>42605</c:v>
                </c:pt>
                <c:pt idx="152">
                  <c:v>42604</c:v>
                </c:pt>
                <c:pt idx="153">
                  <c:v>42601</c:v>
                </c:pt>
                <c:pt idx="154">
                  <c:v>42600</c:v>
                </c:pt>
                <c:pt idx="155">
                  <c:v>42599</c:v>
                </c:pt>
                <c:pt idx="156">
                  <c:v>42598</c:v>
                </c:pt>
                <c:pt idx="157">
                  <c:v>42597</c:v>
                </c:pt>
                <c:pt idx="158">
                  <c:v>42594</c:v>
                </c:pt>
                <c:pt idx="159">
                  <c:v>42593</c:v>
                </c:pt>
                <c:pt idx="160">
                  <c:v>42592</c:v>
                </c:pt>
                <c:pt idx="161">
                  <c:v>42591</c:v>
                </c:pt>
                <c:pt idx="162">
                  <c:v>42590</c:v>
                </c:pt>
                <c:pt idx="163">
                  <c:v>42587</c:v>
                </c:pt>
                <c:pt idx="164">
                  <c:v>42586</c:v>
                </c:pt>
                <c:pt idx="165">
                  <c:v>42585</c:v>
                </c:pt>
                <c:pt idx="166">
                  <c:v>42584</c:v>
                </c:pt>
                <c:pt idx="167">
                  <c:v>42583</c:v>
                </c:pt>
                <c:pt idx="168">
                  <c:v>42580</c:v>
                </c:pt>
                <c:pt idx="169">
                  <c:v>42579</c:v>
                </c:pt>
                <c:pt idx="170">
                  <c:v>42578</c:v>
                </c:pt>
                <c:pt idx="171">
                  <c:v>42577</c:v>
                </c:pt>
                <c:pt idx="172">
                  <c:v>42576</c:v>
                </c:pt>
                <c:pt idx="173">
                  <c:v>42573</c:v>
                </c:pt>
                <c:pt idx="174">
                  <c:v>42572</c:v>
                </c:pt>
                <c:pt idx="175">
                  <c:v>42571</c:v>
                </c:pt>
                <c:pt idx="176">
                  <c:v>42570</c:v>
                </c:pt>
                <c:pt idx="177">
                  <c:v>42569</c:v>
                </c:pt>
                <c:pt idx="178">
                  <c:v>42566</c:v>
                </c:pt>
                <c:pt idx="179">
                  <c:v>42565</c:v>
                </c:pt>
                <c:pt idx="180">
                  <c:v>42564</c:v>
                </c:pt>
                <c:pt idx="181">
                  <c:v>42563</c:v>
                </c:pt>
                <c:pt idx="182">
                  <c:v>42562</c:v>
                </c:pt>
                <c:pt idx="183">
                  <c:v>42559</c:v>
                </c:pt>
                <c:pt idx="184">
                  <c:v>42558</c:v>
                </c:pt>
                <c:pt idx="185">
                  <c:v>42557</c:v>
                </c:pt>
                <c:pt idx="186">
                  <c:v>42556</c:v>
                </c:pt>
                <c:pt idx="187">
                  <c:v>42552</c:v>
                </c:pt>
                <c:pt idx="188">
                  <c:v>42551</c:v>
                </c:pt>
                <c:pt idx="189">
                  <c:v>42550</c:v>
                </c:pt>
                <c:pt idx="190">
                  <c:v>42549</c:v>
                </c:pt>
                <c:pt idx="191">
                  <c:v>42548</c:v>
                </c:pt>
                <c:pt idx="192">
                  <c:v>42545</c:v>
                </c:pt>
                <c:pt idx="193">
                  <c:v>42544</c:v>
                </c:pt>
                <c:pt idx="194">
                  <c:v>42543</c:v>
                </c:pt>
                <c:pt idx="195">
                  <c:v>42542</c:v>
                </c:pt>
                <c:pt idx="196">
                  <c:v>42541</c:v>
                </c:pt>
                <c:pt idx="197">
                  <c:v>42538</c:v>
                </c:pt>
                <c:pt idx="198">
                  <c:v>42537</c:v>
                </c:pt>
                <c:pt idx="199">
                  <c:v>42536</c:v>
                </c:pt>
                <c:pt idx="200">
                  <c:v>42535</c:v>
                </c:pt>
                <c:pt idx="201">
                  <c:v>42534</c:v>
                </c:pt>
                <c:pt idx="202">
                  <c:v>42531</c:v>
                </c:pt>
                <c:pt idx="203">
                  <c:v>42530</c:v>
                </c:pt>
                <c:pt idx="204">
                  <c:v>42529</c:v>
                </c:pt>
                <c:pt idx="205">
                  <c:v>42528</c:v>
                </c:pt>
                <c:pt idx="206">
                  <c:v>42527</c:v>
                </c:pt>
                <c:pt idx="207">
                  <c:v>42524</c:v>
                </c:pt>
                <c:pt idx="208">
                  <c:v>42523</c:v>
                </c:pt>
                <c:pt idx="209">
                  <c:v>42522</c:v>
                </c:pt>
                <c:pt idx="210">
                  <c:v>42521</c:v>
                </c:pt>
                <c:pt idx="211">
                  <c:v>42517</c:v>
                </c:pt>
                <c:pt idx="212">
                  <c:v>42516</c:v>
                </c:pt>
                <c:pt idx="213">
                  <c:v>42515</c:v>
                </c:pt>
                <c:pt idx="214">
                  <c:v>42514</c:v>
                </c:pt>
                <c:pt idx="215">
                  <c:v>42513</c:v>
                </c:pt>
                <c:pt idx="216">
                  <c:v>42510</c:v>
                </c:pt>
                <c:pt idx="217">
                  <c:v>42509</c:v>
                </c:pt>
                <c:pt idx="218">
                  <c:v>42508</c:v>
                </c:pt>
                <c:pt idx="219">
                  <c:v>42507</c:v>
                </c:pt>
                <c:pt idx="220">
                  <c:v>42506</c:v>
                </c:pt>
                <c:pt idx="221">
                  <c:v>42503</c:v>
                </c:pt>
                <c:pt idx="222">
                  <c:v>42502</c:v>
                </c:pt>
                <c:pt idx="223">
                  <c:v>42501</c:v>
                </c:pt>
                <c:pt idx="224">
                  <c:v>42500</c:v>
                </c:pt>
                <c:pt idx="225">
                  <c:v>42499</c:v>
                </c:pt>
                <c:pt idx="226">
                  <c:v>42496</c:v>
                </c:pt>
                <c:pt idx="227">
                  <c:v>42495</c:v>
                </c:pt>
                <c:pt idx="228">
                  <c:v>42494</c:v>
                </c:pt>
                <c:pt idx="229">
                  <c:v>42493</c:v>
                </c:pt>
                <c:pt idx="230">
                  <c:v>42492</c:v>
                </c:pt>
                <c:pt idx="231">
                  <c:v>42489</c:v>
                </c:pt>
                <c:pt idx="232">
                  <c:v>42488</c:v>
                </c:pt>
                <c:pt idx="233">
                  <c:v>42487</c:v>
                </c:pt>
                <c:pt idx="234">
                  <c:v>42486</c:v>
                </c:pt>
                <c:pt idx="235">
                  <c:v>42485</c:v>
                </c:pt>
                <c:pt idx="236">
                  <c:v>42482</c:v>
                </c:pt>
                <c:pt idx="237">
                  <c:v>42481</c:v>
                </c:pt>
                <c:pt idx="238">
                  <c:v>42480</c:v>
                </c:pt>
                <c:pt idx="239">
                  <c:v>42479</c:v>
                </c:pt>
                <c:pt idx="240">
                  <c:v>42478</c:v>
                </c:pt>
                <c:pt idx="241">
                  <c:v>42475</c:v>
                </c:pt>
                <c:pt idx="242">
                  <c:v>42474</c:v>
                </c:pt>
                <c:pt idx="243">
                  <c:v>42473</c:v>
                </c:pt>
                <c:pt idx="244">
                  <c:v>42472</c:v>
                </c:pt>
                <c:pt idx="245">
                  <c:v>42471</c:v>
                </c:pt>
                <c:pt idx="246">
                  <c:v>42468</c:v>
                </c:pt>
                <c:pt idx="247">
                  <c:v>42467</c:v>
                </c:pt>
                <c:pt idx="248">
                  <c:v>42466</c:v>
                </c:pt>
                <c:pt idx="249">
                  <c:v>42465</c:v>
                </c:pt>
                <c:pt idx="250">
                  <c:v>42464</c:v>
                </c:pt>
                <c:pt idx="251">
                  <c:v>42461</c:v>
                </c:pt>
                <c:pt idx="252">
                  <c:v>42460</c:v>
                </c:pt>
                <c:pt idx="253">
                  <c:v>42459</c:v>
                </c:pt>
                <c:pt idx="254">
                  <c:v>42458</c:v>
                </c:pt>
                <c:pt idx="255">
                  <c:v>42457</c:v>
                </c:pt>
                <c:pt idx="256">
                  <c:v>42453</c:v>
                </c:pt>
                <c:pt idx="257">
                  <c:v>42452</c:v>
                </c:pt>
                <c:pt idx="258">
                  <c:v>42451</c:v>
                </c:pt>
                <c:pt idx="259">
                  <c:v>42450</c:v>
                </c:pt>
                <c:pt idx="260">
                  <c:v>42447</c:v>
                </c:pt>
                <c:pt idx="261">
                  <c:v>42446</c:v>
                </c:pt>
                <c:pt idx="262">
                  <c:v>42445</c:v>
                </c:pt>
                <c:pt idx="263">
                  <c:v>42444</c:v>
                </c:pt>
                <c:pt idx="264">
                  <c:v>42443</c:v>
                </c:pt>
                <c:pt idx="265">
                  <c:v>42440</c:v>
                </c:pt>
                <c:pt idx="266">
                  <c:v>42439</c:v>
                </c:pt>
                <c:pt idx="267">
                  <c:v>42438</c:v>
                </c:pt>
                <c:pt idx="268">
                  <c:v>42437</c:v>
                </c:pt>
                <c:pt idx="269">
                  <c:v>42436</c:v>
                </c:pt>
                <c:pt idx="270">
                  <c:v>42433</c:v>
                </c:pt>
                <c:pt idx="271">
                  <c:v>42432</c:v>
                </c:pt>
                <c:pt idx="272">
                  <c:v>42431</c:v>
                </c:pt>
                <c:pt idx="273">
                  <c:v>42430</c:v>
                </c:pt>
                <c:pt idx="274">
                  <c:v>42429</c:v>
                </c:pt>
                <c:pt idx="275">
                  <c:v>42426</c:v>
                </c:pt>
                <c:pt idx="276">
                  <c:v>42425</c:v>
                </c:pt>
                <c:pt idx="277">
                  <c:v>42424</c:v>
                </c:pt>
                <c:pt idx="278">
                  <c:v>42423</c:v>
                </c:pt>
                <c:pt idx="279">
                  <c:v>42422</c:v>
                </c:pt>
                <c:pt idx="280">
                  <c:v>42419</c:v>
                </c:pt>
                <c:pt idx="281">
                  <c:v>42418</c:v>
                </c:pt>
                <c:pt idx="282">
                  <c:v>42417</c:v>
                </c:pt>
                <c:pt idx="283">
                  <c:v>42416</c:v>
                </c:pt>
                <c:pt idx="284">
                  <c:v>42412</c:v>
                </c:pt>
                <c:pt idx="285">
                  <c:v>42411</c:v>
                </c:pt>
                <c:pt idx="286">
                  <c:v>42410</c:v>
                </c:pt>
                <c:pt idx="287">
                  <c:v>42409</c:v>
                </c:pt>
                <c:pt idx="288">
                  <c:v>42408</c:v>
                </c:pt>
                <c:pt idx="289">
                  <c:v>42405</c:v>
                </c:pt>
                <c:pt idx="290">
                  <c:v>42404</c:v>
                </c:pt>
                <c:pt idx="291">
                  <c:v>42403</c:v>
                </c:pt>
                <c:pt idx="292">
                  <c:v>42402</c:v>
                </c:pt>
                <c:pt idx="293">
                  <c:v>42401</c:v>
                </c:pt>
                <c:pt idx="294">
                  <c:v>42398</c:v>
                </c:pt>
                <c:pt idx="295">
                  <c:v>42397</c:v>
                </c:pt>
                <c:pt idx="296">
                  <c:v>42396</c:v>
                </c:pt>
                <c:pt idx="297">
                  <c:v>42395</c:v>
                </c:pt>
                <c:pt idx="298">
                  <c:v>42394</c:v>
                </c:pt>
                <c:pt idx="299">
                  <c:v>42391</c:v>
                </c:pt>
                <c:pt idx="300">
                  <c:v>42390</c:v>
                </c:pt>
                <c:pt idx="301">
                  <c:v>42389</c:v>
                </c:pt>
                <c:pt idx="302">
                  <c:v>42388</c:v>
                </c:pt>
                <c:pt idx="303">
                  <c:v>42384</c:v>
                </c:pt>
                <c:pt idx="304">
                  <c:v>42383</c:v>
                </c:pt>
                <c:pt idx="305">
                  <c:v>42382</c:v>
                </c:pt>
                <c:pt idx="306">
                  <c:v>42381</c:v>
                </c:pt>
                <c:pt idx="307">
                  <c:v>42380</c:v>
                </c:pt>
                <c:pt idx="308">
                  <c:v>42377</c:v>
                </c:pt>
                <c:pt idx="309">
                  <c:v>42376</c:v>
                </c:pt>
                <c:pt idx="310">
                  <c:v>42375</c:v>
                </c:pt>
                <c:pt idx="311">
                  <c:v>42374</c:v>
                </c:pt>
                <c:pt idx="312">
                  <c:v>42373</c:v>
                </c:pt>
                <c:pt idx="313">
                  <c:v>42369</c:v>
                </c:pt>
                <c:pt idx="314">
                  <c:v>42368</c:v>
                </c:pt>
                <c:pt idx="315">
                  <c:v>42367</c:v>
                </c:pt>
                <c:pt idx="316">
                  <c:v>42366</c:v>
                </c:pt>
                <c:pt idx="317">
                  <c:v>42362</c:v>
                </c:pt>
                <c:pt idx="318">
                  <c:v>42361</c:v>
                </c:pt>
                <c:pt idx="319">
                  <c:v>42360</c:v>
                </c:pt>
                <c:pt idx="320">
                  <c:v>42359</c:v>
                </c:pt>
                <c:pt idx="321">
                  <c:v>42356</c:v>
                </c:pt>
                <c:pt idx="322">
                  <c:v>42355</c:v>
                </c:pt>
                <c:pt idx="323">
                  <c:v>42354</c:v>
                </c:pt>
                <c:pt idx="324">
                  <c:v>42353</c:v>
                </c:pt>
                <c:pt idx="325">
                  <c:v>42352</c:v>
                </c:pt>
                <c:pt idx="326">
                  <c:v>42349</c:v>
                </c:pt>
                <c:pt idx="327">
                  <c:v>42348</c:v>
                </c:pt>
                <c:pt idx="328">
                  <c:v>42347</c:v>
                </c:pt>
                <c:pt idx="329">
                  <c:v>42346</c:v>
                </c:pt>
                <c:pt idx="330">
                  <c:v>42345</c:v>
                </c:pt>
                <c:pt idx="331">
                  <c:v>42342</c:v>
                </c:pt>
                <c:pt idx="332">
                  <c:v>42341</c:v>
                </c:pt>
                <c:pt idx="333">
                  <c:v>42340</c:v>
                </c:pt>
                <c:pt idx="334">
                  <c:v>42339</c:v>
                </c:pt>
                <c:pt idx="335">
                  <c:v>42338</c:v>
                </c:pt>
                <c:pt idx="336">
                  <c:v>42335</c:v>
                </c:pt>
                <c:pt idx="337">
                  <c:v>42333</c:v>
                </c:pt>
                <c:pt idx="338">
                  <c:v>42332</c:v>
                </c:pt>
                <c:pt idx="339">
                  <c:v>42331</c:v>
                </c:pt>
                <c:pt idx="340">
                  <c:v>42328</c:v>
                </c:pt>
                <c:pt idx="341">
                  <c:v>42327</c:v>
                </c:pt>
                <c:pt idx="342">
                  <c:v>42326</c:v>
                </c:pt>
                <c:pt idx="343">
                  <c:v>42325</c:v>
                </c:pt>
                <c:pt idx="344">
                  <c:v>42324</c:v>
                </c:pt>
                <c:pt idx="345">
                  <c:v>42321</c:v>
                </c:pt>
                <c:pt idx="346">
                  <c:v>42320</c:v>
                </c:pt>
                <c:pt idx="347">
                  <c:v>42319</c:v>
                </c:pt>
                <c:pt idx="348">
                  <c:v>42318</c:v>
                </c:pt>
                <c:pt idx="349">
                  <c:v>42317</c:v>
                </c:pt>
                <c:pt idx="350">
                  <c:v>42314</c:v>
                </c:pt>
                <c:pt idx="351">
                  <c:v>42313</c:v>
                </c:pt>
                <c:pt idx="352">
                  <c:v>42312</c:v>
                </c:pt>
                <c:pt idx="353">
                  <c:v>42311</c:v>
                </c:pt>
                <c:pt idx="354">
                  <c:v>42310</c:v>
                </c:pt>
                <c:pt idx="355">
                  <c:v>42307</c:v>
                </c:pt>
                <c:pt idx="356">
                  <c:v>42306</c:v>
                </c:pt>
                <c:pt idx="357">
                  <c:v>42305</c:v>
                </c:pt>
                <c:pt idx="358">
                  <c:v>42304</c:v>
                </c:pt>
                <c:pt idx="359">
                  <c:v>42303</c:v>
                </c:pt>
                <c:pt idx="360">
                  <c:v>42300</c:v>
                </c:pt>
                <c:pt idx="361">
                  <c:v>42299</c:v>
                </c:pt>
                <c:pt idx="362">
                  <c:v>42298</c:v>
                </c:pt>
                <c:pt idx="363">
                  <c:v>42297</c:v>
                </c:pt>
                <c:pt idx="364">
                  <c:v>42296</c:v>
                </c:pt>
                <c:pt idx="365">
                  <c:v>42293</c:v>
                </c:pt>
                <c:pt idx="366">
                  <c:v>42292</c:v>
                </c:pt>
                <c:pt idx="367">
                  <c:v>42291</c:v>
                </c:pt>
                <c:pt idx="368">
                  <c:v>42290</c:v>
                </c:pt>
                <c:pt idx="369">
                  <c:v>42289</c:v>
                </c:pt>
                <c:pt idx="370">
                  <c:v>42286</c:v>
                </c:pt>
                <c:pt idx="371">
                  <c:v>42285</c:v>
                </c:pt>
                <c:pt idx="372">
                  <c:v>42284</c:v>
                </c:pt>
                <c:pt idx="373">
                  <c:v>42283</c:v>
                </c:pt>
                <c:pt idx="374">
                  <c:v>42282</c:v>
                </c:pt>
                <c:pt idx="375">
                  <c:v>42279</c:v>
                </c:pt>
                <c:pt idx="376">
                  <c:v>42278</c:v>
                </c:pt>
                <c:pt idx="377">
                  <c:v>42277</c:v>
                </c:pt>
                <c:pt idx="378">
                  <c:v>42276</c:v>
                </c:pt>
                <c:pt idx="379">
                  <c:v>42275</c:v>
                </c:pt>
                <c:pt idx="380">
                  <c:v>42272</c:v>
                </c:pt>
                <c:pt idx="381">
                  <c:v>42271</c:v>
                </c:pt>
                <c:pt idx="382">
                  <c:v>42270</c:v>
                </c:pt>
                <c:pt idx="383">
                  <c:v>42269</c:v>
                </c:pt>
                <c:pt idx="384">
                  <c:v>42268</c:v>
                </c:pt>
                <c:pt idx="385">
                  <c:v>42265</c:v>
                </c:pt>
                <c:pt idx="386">
                  <c:v>42264</c:v>
                </c:pt>
                <c:pt idx="387">
                  <c:v>42263</c:v>
                </c:pt>
                <c:pt idx="388">
                  <c:v>42262</c:v>
                </c:pt>
                <c:pt idx="389">
                  <c:v>42261</c:v>
                </c:pt>
                <c:pt idx="390">
                  <c:v>42258</c:v>
                </c:pt>
                <c:pt idx="391">
                  <c:v>42257</c:v>
                </c:pt>
                <c:pt idx="392">
                  <c:v>42256</c:v>
                </c:pt>
                <c:pt idx="393">
                  <c:v>42255</c:v>
                </c:pt>
                <c:pt idx="394">
                  <c:v>42251</c:v>
                </c:pt>
                <c:pt idx="395">
                  <c:v>42250</c:v>
                </c:pt>
                <c:pt idx="396">
                  <c:v>42249</c:v>
                </c:pt>
                <c:pt idx="397">
                  <c:v>42248</c:v>
                </c:pt>
                <c:pt idx="398">
                  <c:v>42247</c:v>
                </c:pt>
                <c:pt idx="399">
                  <c:v>42244</c:v>
                </c:pt>
                <c:pt idx="400">
                  <c:v>42243</c:v>
                </c:pt>
                <c:pt idx="401">
                  <c:v>42242</c:v>
                </c:pt>
                <c:pt idx="402">
                  <c:v>42241</c:v>
                </c:pt>
                <c:pt idx="403">
                  <c:v>42240</c:v>
                </c:pt>
                <c:pt idx="404">
                  <c:v>42237</c:v>
                </c:pt>
                <c:pt idx="405">
                  <c:v>42236</c:v>
                </c:pt>
                <c:pt idx="406">
                  <c:v>42235</c:v>
                </c:pt>
                <c:pt idx="407">
                  <c:v>42234</c:v>
                </c:pt>
                <c:pt idx="408">
                  <c:v>42233</c:v>
                </c:pt>
                <c:pt idx="409">
                  <c:v>42230</c:v>
                </c:pt>
                <c:pt idx="410">
                  <c:v>42229</c:v>
                </c:pt>
                <c:pt idx="411">
                  <c:v>42228</c:v>
                </c:pt>
                <c:pt idx="412">
                  <c:v>42227</c:v>
                </c:pt>
                <c:pt idx="413">
                  <c:v>42226</c:v>
                </c:pt>
                <c:pt idx="414">
                  <c:v>42223</c:v>
                </c:pt>
                <c:pt idx="415">
                  <c:v>42222</c:v>
                </c:pt>
                <c:pt idx="416">
                  <c:v>42221</c:v>
                </c:pt>
                <c:pt idx="417">
                  <c:v>42220</c:v>
                </c:pt>
                <c:pt idx="418">
                  <c:v>42219</c:v>
                </c:pt>
                <c:pt idx="419">
                  <c:v>42216</c:v>
                </c:pt>
                <c:pt idx="420">
                  <c:v>42215</c:v>
                </c:pt>
                <c:pt idx="421">
                  <c:v>42214</c:v>
                </c:pt>
                <c:pt idx="422">
                  <c:v>42213</c:v>
                </c:pt>
                <c:pt idx="423">
                  <c:v>42212</c:v>
                </c:pt>
                <c:pt idx="424">
                  <c:v>42209</c:v>
                </c:pt>
                <c:pt idx="425">
                  <c:v>42208</c:v>
                </c:pt>
                <c:pt idx="426">
                  <c:v>42207</c:v>
                </c:pt>
                <c:pt idx="427">
                  <c:v>42206</c:v>
                </c:pt>
                <c:pt idx="428">
                  <c:v>42205</c:v>
                </c:pt>
                <c:pt idx="429">
                  <c:v>42202</c:v>
                </c:pt>
                <c:pt idx="430">
                  <c:v>42201</c:v>
                </c:pt>
                <c:pt idx="431">
                  <c:v>42200</c:v>
                </c:pt>
                <c:pt idx="432">
                  <c:v>42199</c:v>
                </c:pt>
                <c:pt idx="433">
                  <c:v>42198</c:v>
                </c:pt>
                <c:pt idx="434">
                  <c:v>42195</c:v>
                </c:pt>
                <c:pt idx="435">
                  <c:v>42194</c:v>
                </c:pt>
                <c:pt idx="436">
                  <c:v>42193</c:v>
                </c:pt>
                <c:pt idx="437">
                  <c:v>42192</c:v>
                </c:pt>
                <c:pt idx="438">
                  <c:v>42191</c:v>
                </c:pt>
                <c:pt idx="439">
                  <c:v>42187</c:v>
                </c:pt>
                <c:pt idx="440">
                  <c:v>42186</c:v>
                </c:pt>
                <c:pt idx="441">
                  <c:v>42185</c:v>
                </c:pt>
                <c:pt idx="442">
                  <c:v>42184</c:v>
                </c:pt>
                <c:pt idx="443">
                  <c:v>42181</c:v>
                </c:pt>
                <c:pt idx="444">
                  <c:v>42180</c:v>
                </c:pt>
                <c:pt idx="445">
                  <c:v>42179</c:v>
                </c:pt>
                <c:pt idx="446">
                  <c:v>42178</c:v>
                </c:pt>
                <c:pt idx="447">
                  <c:v>42177</c:v>
                </c:pt>
                <c:pt idx="448">
                  <c:v>42174</c:v>
                </c:pt>
                <c:pt idx="449">
                  <c:v>42173</c:v>
                </c:pt>
                <c:pt idx="450">
                  <c:v>42172</c:v>
                </c:pt>
                <c:pt idx="451">
                  <c:v>42171</c:v>
                </c:pt>
                <c:pt idx="452">
                  <c:v>42170</c:v>
                </c:pt>
                <c:pt idx="453">
                  <c:v>42167</c:v>
                </c:pt>
                <c:pt idx="454">
                  <c:v>42166</c:v>
                </c:pt>
                <c:pt idx="455">
                  <c:v>42165</c:v>
                </c:pt>
                <c:pt idx="456">
                  <c:v>42164</c:v>
                </c:pt>
                <c:pt idx="457">
                  <c:v>42163</c:v>
                </c:pt>
                <c:pt idx="458">
                  <c:v>42160</c:v>
                </c:pt>
                <c:pt idx="459">
                  <c:v>42159</c:v>
                </c:pt>
                <c:pt idx="460">
                  <c:v>42158</c:v>
                </c:pt>
                <c:pt idx="461">
                  <c:v>42157</c:v>
                </c:pt>
                <c:pt idx="462">
                  <c:v>42156</c:v>
                </c:pt>
                <c:pt idx="463">
                  <c:v>42153</c:v>
                </c:pt>
                <c:pt idx="464">
                  <c:v>42152</c:v>
                </c:pt>
                <c:pt idx="465">
                  <c:v>42151</c:v>
                </c:pt>
                <c:pt idx="466">
                  <c:v>42150</c:v>
                </c:pt>
                <c:pt idx="467">
                  <c:v>42146</c:v>
                </c:pt>
                <c:pt idx="468">
                  <c:v>42145</c:v>
                </c:pt>
                <c:pt idx="469">
                  <c:v>42144</c:v>
                </c:pt>
                <c:pt idx="470">
                  <c:v>42143</c:v>
                </c:pt>
                <c:pt idx="471">
                  <c:v>42142</c:v>
                </c:pt>
                <c:pt idx="472">
                  <c:v>42139</c:v>
                </c:pt>
                <c:pt idx="473">
                  <c:v>42138</c:v>
                </c:pt>
                <c:pt idx="474">
                  <c:v>42137</c:v>
                </c:pt>
                <c:pt idx="475">
                  <c:v>42136</c:v>
                </c:pt>
                <c:pt idx="476">
                  <c:v>42135</c:v>
                </c:pt>
                <c:pt idx="477">
                  <c:v>42132</c:v>
                </c:pt>
                <c:pt idx="478">
                  <c:v>42131</c:v>
                </c:pt>
                <c:pt idx="479">
                  <c:v>42130</c:v>
                </c:pt>
                <c:pt idx="480">
                  <c:v>42129</c:v>
                </c:pt>
                <c:pt idx="481">
                  <c:v>42128</c:v>
                </c:pt>
                <c:pt idx="482">
                  <c:v>42125</c:v>
                </c:pt>
                <c:pt idx="483">
                  <c:v>42124</c:v>
                </c:pt>
                <c:pt idx="484">
                  <c:v>42123</c:v>
                </c:pt>
                <c:pt idx="485">
                  <c:v>42122</c:v>
                </c:pt>
                <c:pt idx="486">
                  <c:v>42121</c:v>
                </c:pt>
                <c:pt idx="487">
                  <c:v>42118</c:v>
                </c:pt>
                <c:pt idx="488">
                  <c:v>42117</c:v>
                </c:pt>
                <c:pt idx="489">
                  <c:v>42116</c:v>
                </c:pt>
                <c:pt idx="490">
                  <c:v>42115</c:v>
                </c:pt>
                <c:pt idx="491">
                  <c:v>42114</c:v>
                </c:pt>
                <c:pt idx="492">
                  <c:v>42111</c:v>
                </c:pt>
                <c:pt idx="493">
                  <c:v>42110</c:v>
                </c:pt>
                <c:pt idx="494">
                  <c:v>42109</c:v>
                </c:pt>
                <c:pt idx="495">
                  <c:v>42108</c:v>
                </c:pt>
                <c:pt idx="496">
                  <c:v>42107</c:v>
                </c:pt>
                <c:pt idx="497">
                  <c:v>42104</c:v>
                </c:pt>
                <c:pt idx="498">
                  <c:v>42103</c:v>
                </c:pt>
                <c:pt idx="499">
                  <c:v>42102</c:v>
                </c:pt>
                <c:pt idx="500">
                  <c:v>42101</c:v>
                </c:pt>
                <c:pt idx="501">
                  <c:v>42100</c:v>
                </c:pt>
                <c:pt idx="502">
                  <c:v>42096</c:v>
                </c:pt>
                <c:pt idx="503">
                  <c:v>42095</c:v>
                </c:pt>
                <c:pt idx="504">
                  <c:v>42094</c:v>
                </c:pt>
                <c:pt idx="505">
                  <c:v>42093</c:v>
                </c:pt>
                <c:pt idx="506">
                  <c:v>42090</c:v>
                </c:pt>
                <c:pt idx="507">
                  <c:v>42089</c:v>
                </c:pt>
                <c:pt idx="508">
                  <c:v>42088</c:v>
                </c:pt>
                <c:pt idx="509">
                  <c:v>42087</c:v>
                </c:pt>
                <c:pt idx="510">
                  <c:v>42086</c:v>
                </c:pt>
                <c:pt idx="511">
                  <c:v>42083</c:v>
                </c:pt>
                <c:pt idx="512">
                  <c:v>42082</c:v>
                </c:pt>
                <c:pt idx="513">
                  <c:v>42081</c:v>
                </c:pt>
                <c:pt idx="514">
                  <c:v>42080</c:v>
                </c:pt>
                <c:pt idx="515">
                  <c:v>42079</c:v>
                </c:pt>
                <c:pt idx="516">
                  <c:v>42076</c:v>
                </c:pt>
                <c:pt idx="517">
                  <c:v>42075</c:v>
                </c:pt>
                <c:pt idx="518">
                  <c:v>42074</c:v>
                </c:pt>
                <c:pt idx="519">
                  <c:v>42073</c:v>
                </c:pt>
                <c:pt idx="520">
                  <c:v>42072</c:v>
                </c:pt>
                <c:pt idx="521">
                  <c:v>42069</c:v>
                </c:pt>
                <c:pt idx="522">
                  <c:v>42068</c:v>
                </c:pt>
                <c:pt idx="523">
                  <c:v>42067</c:v>
                </c:pt>
                <c:pt idx="524">
                  <c:v>42066</c:v>
                </c:pt>
                <c:pt idx="525">
                  <c:v>42065</c:v>
                </c:pt>
                <c:pt idx="526">
                  <c:v>42062</c:v>
                </c:pt>
                <c:pt idx="527">
                  <c:v>42061</c:v>
                </c:pt>
                <c:pt idx="528">
                  <c:v>42060</c:v>
                </c:pt>
                <c:pt idx="529">
                  <c:v>42059</c:v>
                </c:pt>
                <c:pt idx="530">
                  <c:v>42058</c:v>
                </c:pt>
                <c:pt idx="531">
                  <c:v>42055</c:v>
                </c:pt>
                <c:pt idx="532">
                  <c:v>42054</c:v>
                </c:pt>
                <c:pt idx="533">
                  <c:v>42053</c:v>
                </c:pt>
                <c:pt idx="534">
                  <c:v>42052</c:v>
                </c:pt>
                <c:pt idx="535">
                  <c:v>42048</c:v>
                </c:pt>
                <c:pt idx="536">
                  <c:v>42047</c:v>
                </c:pt>
                <c:pt idx="537">
                  <c:v>42046</c:v>
                </c:pt>
                <c:pt idx="538">
                  <c:v>42045</c:v>
                </c:pt>
                <c:pt idx="539">
                  <c:v>42044</c:v>
                </c:pt>
                <c:pt idx="540">
                  <c:v>42041</c:v>
                </c:pt>
                <c:pt idx="541">
                  <c:v>42040</c:v>
                </c:pt>
                <c:pt idx="542">
                  <c:v>42039</c:v>
                </c:pt>
                <c:pt idx="543">
                  <c:v>42038</c:v>
                </c:pt>
                <c:pt idx="544">
                  <c:v>42037</c:v>
                </c:pt>
                <c:pt idx="545">
                  <c:v>42034</c:v>
                </c:pt>
                <c:pt idx="546">
                  <c:v>42033</c:v>
                </c:pt>
                <c:pt idx="547">
                  <c:v>42032</c:v>
                </c:pt>
                <c:pt idx="548">
                  <c:v>42031</c:v>
                </c:pt>
                <c:pt idx="549">
                  <c:v>42030</c:v>
                </c:pt>
                <c:pt idx="550">
                  <c:v>42027</c:v>
                </c:pt>
                <c:pt idx="551">
                  <c:v>42026</c:v>
                </c:pt>
                <c:pt idx="552">
                  <c:v>42025</c:v>
                </c:pt>
                <c:pt idx="553">
                  <c:v>42024</c:v>
                </c:pt>
                <c:pt idx="554">
                  <c:v>42020</c:v>
                </c:pt>
                <c:pt idx="555">
                  <c:v>42019</c:v>
                </c:pt>
                <c:pt idx="556">
                  <c:v>42018</c:v>
                </c:pt>
                <c:pt idx="557">
                  <c:v>42017</c:v>
                </c:pt>
                <c:pt idx="558">
                  <c:v>42016</c:v>
                </c:pt>
                <c:pt idx="559">
                  <c:v>42013</c:v>
                </c:pt>
                <c:pt idx="560">
                  <c:v>42012</c:v>
                </c:pt>
                <c:pt idx="561">
                  <c:v>42011</c:v>
                </c:pt>
                <c:pt idx="562">
                  <c:v>42010</c:v>
                </c:pt>
                <c:pt idx="563">
                  <c:v>42009</c:v>
                </c:pt>
                <c:pt idx="564">
                  <c:v>42006</c:v>
                </c:pt>
              </c:numCache>
            </c:numRef>
          </c:cat>
          <c:val>
            <c:numRef>
              <c:f>'Graf 3+4'!$N$3:$N$600</c:f>
              <c:numCache>
                <c:formatCode>General</c:formatCode>
                <c:ptCount val="598"/>
                <c:pt idx="0">
                  <c:v>1.0375189174515289</c:v>
                </c:pt>
                <c:pt idx="1">
                  <c:v>1.0400828537999036</c:v>
                </c:pt>
                <c:pt idx="2">
                  <c:v>1.0447309507744382</c:v>
                </c:pt>
                <c:pt idx="3">
                  <c:v>1.039481604503385</c:v>
                </c:pt>
                <c:pt idx="4">
                  <c:v>1.0359747458184709</c:v>
                </c:pt>
                <c:pt idx="5">
                  <c:v>1.0361724004352411</c:v>
                </c:pt>
                <c:pt idx="6">
                  <c:v>1.0297701019173608</c:v>
                </c:pt>
                <c:pt idx="7">
                  <c:v>1.0321864697182312</c:v>
                </c:pt>
                <c:pt idx="8">
                  <c:v>1.0269399175669358</c:v>
                </c:pt>
                <c:pt idx="9">
                  <c:v>1.0317792076683796</c:v>
                </c:pt>
                <c:pt idx="10">
                  <c:v>1.0264225516546022</c:v>
                </c:pt>
                <c:pt idx="11">
                  <c:v>1.0090802398645962</c:v>
                </c:pt>
                <c:pt idx="12">
                  <c:v>1.0056043251778033</c:v>
                </c:pt>
                <c:pt idx="13">
                  <c:v>1.0138547484809317</c:v>
                </c:pt>
                <c:pt idx="14">
                  <c:v>1.0150201563121604</c:v>
                </c:pt>
                <c:pt idx="15">
                  <c:v>1.0047212551266669</c:v>
                </c:pt>
                <c:pt idx="16">
                  <c:v>0.99463603865238293</c:v>
                </c:pt>
                <c:pt idx="17">
                  <c:v>0.99690484710462157</c:v>
                </c:pt>
                <c:pt idx="18">
                  <c:v>0.99787899766155297</c:v>
                </c:pt>
                <c:pt idx="19">
                  <c:v>1.0010518286750196</c:v>
                </c:pt>
                <c:pt idx="20">
                  <c:v>0.99017320717870305</c:v>
                </c:pt>
                <c:pt idx="21">
                  <c:v>0.9972740332972676</c:v>
                </c:pt>
                <c:pt idx="22">
                  <c:v>0.98024554803793196</c:v>
                </c:pt>
                <c:pt idx="23">
                  <c:v>0.97675167658766515</c:v>
                </c:pt>
                <c:pt idx="24">
                  <c:v>0.97185806094518745</c:v>
                </c:pt>
                <c:pt idx="25">
                  <c:v>0.98062976675284941</c:v>
                </c:pt>
                <c:pt idx="26">
                  <c:v>0.98032669412537854</c:v>
                </c:pt>
                <c:pt idx="27">
                  <c:v>0.98006016110522887</c:v>
                </c:pt>
                <c:pt idx="28">
                  <c:v>0.97749219286175526</c:v>
                </c:pt>
                <c:pt idx="29">
                  <c:v>0.98182416419484109</c:v>
                </c:pt>
                <c:pt idx="30">
                  <c:v>0.9791417232423385</c:v>
                </c:pt>
                <c:pt idx="31">
                  <c:v>0.97285641374279663</c:v>
                </c:pt>
                <c:pt idx="32">
                  <c:v>0.97467797747139073</c:v>
                </c:pt>
                <c:pt idx="33">
                  <c:v>0.96777182627346292</c:v>
                </c:pt>
                <c:pt idx="34">
                  <c:v>0.97204881671968835</c:v>
                </c:pt>
                <c:pt idx="35">
                  <c:v>0.96355814398874862</c:v>
                </c:pt>
                <c:pt idx="36">
                  <c:v>0.96237005434162493</c:v>
                </c:pt>
                <c:pt idx="37">
                  <c:v>0.96717534611253297</c:v>
                </c:pt>
                <c:pt idx="38">
                  <c:v>0.98230290882360571</c:v>
                </c:pt>
                <c:pt idx="39">
                  <c:v>0.97668256966057498</c:v>
                </c:pt>
                <c:pt idx="40">
                  <c:v>0.97506228511887483</c:v>
                </c:pt>
                <c:pt idx="41">
                  <c:v>0.96922085198218833</c:v>
                </c:pt>
                <c:pt idx="42">
                  <c:v>0.97061422022670696</c:v>
                </c:pt>
                <c:pt idx="43">
                  <c:v>0.98198334934314113</c:v>
                </c:pt>
                <c:pt idx="44">
                  <c:v>0.98711608094582859</c:v>
                </c:pt>
                <c:pt idx="45">
                  <c:v>0.99396609902600064</c:v>
                </c:pt>
                <c:pt idx="46">
                  <c:v>0.98215912832476948</c:v>
                </c:pt>
                <c:pt idx="47">
                  <c:v>0.97676127765299103</c:v>
                </c:pt>
                <c:pt idx="48">
                  <c:v>0.97993038834336588</c:v>
                </c:pt>
                <c:pt idx="49">
                  <c:v>0.97310611834961858</c:v>
                </c:pt>
                <c:pt idx="50">
                  <c:v>0.97898886244689987</c:v>
                </c:pt>
                <c:pt idx="51">
                  <c:v>0.97776090450198838</c:v>
                </c:pt>
                <c:pt idx="52">
                  <c:v>0.98382300870318273</c:v>
                </c:pt>
                <c:pt idx="53">
                  <c:v>0.9735105229656551</c:v>
                </c:pt>
                <c:pt idx="54">
                  <c:v>0.9714626273334479</c:v>
                </c:pt>
                <c:pt idx="55">
                  <c:v>0.97112885183961328</c:v>
                </c:pt>
                <c:pt idx="56">
                  <c:v>0.97290814752095467</c:v>
                </c:pt>
                <c:pt idx="57">
                  <c:v>0.97459832734786755</c:v>
                </c:pt>
                <c:pt idx="58">
                  <c:v>0.9777167454648259</c:v>
                </c:pt>
                <c:pt idx="59">
                  <c:v>0.96600498458110229</c:v>
                </c:pt>
                <c:pt idx="60">
                  <c:v>0.96093186786429041</c:v>
                </c:pt>
                <c:pt idx="61">
                  <c:v>0.96494859282274947</c:v>
                </c:pt>
                <c:pt idx="62">
                  <c:v>0.95201165185454051</c:v>
                </c:pt>
                <c:pt idx="63">
                  <c:v>0.94567783423652907</c:v>
                </c:pt>
                <c:pt idx="64">
                  <c:v>0.95250629640621187</c:v>
                </c:pt>
                <c:pt idx="65">
                  <c:v>0.95034671172942908</c:v>
                </c:pt>
                <c:pt idx="66">
                  <c:v>0.9484072165178643</c:v>
                </c:pt>
                <c:pt idx="67">
                  <c:v>0.94734830309692408</c:v>
                </c:pt>
                <c:pt idx="68">
                  <c:v>0.94720736473766265</c:v>
                </c:pt>
                <c:pt idx="69">
                  <c:v>0.94502314931649201</c:v>
                </c:pt>
                <c:pt idx="70">
                  <c:v>0.94564097481985354</c:v>
                </c:pt>
                <c:pt idx="71">
                  <c:v>0.93953928476302129</c:v>
                </c:pt>
                <c:pt idx="72">
                  <c:v>0.95067951055151445</c:v>
                </c:pt>
                <c:pt idx="73">
                  <c:v>0.95550801940176644</c:v>
                </c:pt>
                <c:pt idx="74">
                  <c:v>0.94546608945776645</c:v>
                </c:pt>
                <c:pt idx="75">
                  <c:v>0.93529289298486118</c:v>
                </c:pt>
                <c:pt idx="76">
                  <c:v>0.93813253935318008</c:v>
                </c:pt>
                <c:pt idx="77">
                  <c:v>0.93701228620558941</c:v>
                </c:pt>
                <c:pt idx="78">
                  <c:v>0.92060765869569638</c:v>
                </c:pt>
                <c:pt idx="79">
                  <c:v>0.91006938768162682</c:v>
                </c:pt>
                <c:pt idx="80">
                  <c:v>0.88886647788508055</c:v>
                </c:pt>
                <c:pt idx="81">
                  <c:v>0.88941456852738865</c:v>
                </c:pt>
                <c:pt idx="82">
                  <c:v>0.89373849670507588</c:v>
                </c:pt>
                <c:pt idx="83">
                  <c:v>0.89204360026906415</c:v>
                </c:pt>
                <c:pt idx="84">
                  <c:v>0.88088079331633851</c:v>
                </c:pt>
                <c:pt idx="85">
                  <c:v>0.89198773267104725</c:v>
                </c:pt>
                <c:pt idx="86">
                  <c:v>0.88320345720431992</c:v>
                </c:pt>
                <c:pt idx="87">
                  <c:v>0.89358205815380165</c:v>
                </c:pt>
                <c:pt idx="88">
                  <c:v>0.88803836949574966</c:v>
                </c:pt>
                <c:pt idx="89">
                  <c:v>0.88212276190290995</c:v>
                </c:pt>
                <c:pt idx="90">
                  <c:v>0.89368205234108422</c:v>
                </c:pt>
                <c:pt idx="91">
                  <c:v>0.89422171339218925</c:v>
                </c:pt>
                <c:pt idx="92">
                  <c:v>0.90530229385393768</c:v>
                </c:pt>
                <c:pt idx="93">
                  <c:v>0.90353231573437043</c:v>
                </c:pt>
                <c:pt idx="94">
                  <c:v>0.91055858990147787</c:v>
                </c:pt>
                <c:pt idx="95">
                  <c:v>0.91882838459354255</c:v>
                </c:pt>
                <c:pt idx="96">
                  <c:v>0.92637619473269273</c:v>
                </c:pt>
                <c:pt idx="97">
                  <c:v>0.92321096079622134</c:v>
                </c:pt>
                <c:pt idx="98">
                  <c:v>0.92032849207290579</c:v>
                </c:pt>
                <c:pt idx="99">
                  <c:v>0.90839539652707169</c:v>
                </c:pt>
                <c:pt idx="100">
                  <c:v>0.91459290761293843</c:v>
                </c:pt>
                <c:pt idx="101">
                  <c:v>0.91566581940872593</c:v>
                </c:pt>
                <c:pt idx="102">
                  <c:v>0.92595961318177888</c:v>
                </c:pt>
                <c:pt idx="103">
                  <c:v>0.92807219779839789</c:v>
                </c:pt>
                <c:pt idx="104">
                  <c:v>0.93377708256727932</c:v>
                </c:pt>
                <c:pt idx="105">
                  <c:v>0.93130072513313866</c:v>
                </c:pt>
                <c:pt idx="106">
                  <c:v>0.93177612265619758</c:v>
                </c:pt>
                <c:pt idx="107">
                  <c:v>0.93193457330146701</c:v>
                </c:pt>
                <c:pt idx="108">
                  <c:v>0.93282682678234696</c:v>
                </c:pt>
                <c:pt idx="109">
                  <c:v>0.92718996720706892</c:v>
                </c:pt>
                <c:pt idx="110">
                  <c:v>0.93334756239791239</c:v>
                </c:pt>
                <c:pt idx="111">
                  <c:v>0.92868836734154825</c:v>
                </c:pt>
                <c:pt idx="112">
                  <c:v>0.92775875766693972</c:v>
                </c:pt>
                <c:pt idx="113">
                  <c:v>0.91605168379079571</c:v>
                </c:pt>
                <c:pt idx="114">
                  <c:v>0.92095322847832306</c:v>
                </c:pt>
                <c:pt idx="115">
                  <c:v>0.9082411416052989</c:v>
                </c:pt>
                <c:pt idx="116">
                  <c:v>0.91831177418275001</c:v>
                </c:pt>
                <c:pt idx="117">
                  <c:v>0.92601142931810898</c:v>
                </c:pt>
                <c:pt idx="118">
                  <c:v>0.93767227941556319</c:v>
                </c:pt>
                <c:pt idx="119">
                  <c:v>0.92811872827788777</c:v>
                </c:pt>
                <c:pt idx="120">
                  <c:v>0.93444922632150851</c:v>
                </c:pt>
                <c:pt idx="121">
                  <c:v>0.94001173965361562</c:v>
                </c:pt>
                <c:pt idx="122">
                  <c:v>0.94000374843463819</c:v>
                </c:pt>
                <c:pt idx="123">
                  <c:v>0.93182678302794364</c:v>
                </c:pt>
                <c:pt idx="124">
                  <c:v>0.93396203706783631</c:v>
                </c:pt>
                <c:pt idx="125">
                  <c:v>0.92995163074259835</c:v>
                </c:pt>
                <c:pt idx="126">
                  <c:v>0.92854531633063919</c:v>
                </c:pt>
                <c:pt idx="127">
                  <c:v>0.9226197489799095</c:v>
                </c:pt>
                <c:pt idx="128">
                  <c:v>0.9273295971512745</c:v>
                </c:pt>
                <c:pt idx="129">
                  <c:v>0.94410436642704454</c:v>
                </c:pt>
                <c:pt idx="130">
                  <c:v>0.95010091829174259</c:v>
                </c:pt>
                <c:pt idx="131">
                  <c:v>0.92046498836452884</c:v>
                </c:pt>
                <c:pt idx="132">
                  <c:v>0.91516381971021588</c:v>
                </c:pt>
                <c:pt idx="133">
                  <c:v>0.91739846550631543</c:v>
                </c:pt>
                <c:pt idx="134">
                  <c:v>0.90486708400245464</c:v>
                </c:pt>
                <c:pt idx="135">
                  <c:v>0.92475653874663943</c:v>
                </c:pt>
                <c:pt idx="136">
                  <c:v>0.92283430624995599</c:v>
                </c:pt>
                <c:pt idx="137">
                  <c:v>0.9244767932214768</c:v>
                </c:pt>
                <c:pt idx="138">
                  <c:v>0.93720368548783028</c:v>
                </c:pt>
                <c:pt idx="139">
                  <c:v>0.94856176087192967</c:v>
                </c:pt>
                <c:pt idx="140">
                  <c:v>0.96104272965283255</c:v>
                </c:pt>
                <c:pt idx="141">
                  <c:v>0.96251474199317322</c:v>
                </c:pt>
                <c:pt idx="142">
                  <c:v>0.95631809851367944</c:v>
                </c:pt>
                <c:pt idx="143">
                  <c:v>0.95246314141942423</c:v>
                </c:pt>
                <c:pt idx="144">
                  <c:v>0.93502345022739775</c:v>
                </c:pt>
                <c:pt idx="145">
                  <c:v>0.93331084624567873</c:v>
                </c:pt>
                <c:pt idx="146">
                  <c:v>0.93519894547780669</c:v>
                </c:pt>
                <c:pt idx="147">
                  <c:v>0.92670456466774054</c:v>
                </c:pt>
                <c:pt idx="148">
                  <c:v>0.93587508506358996</c:v>
                </c:pt>
                <c:pt idx="149">
                  <c:v>0.93212889204870564</c:v>
                </c:pt>
                <c:pt idx="150">
                  <c:v>0.93828261197209706</c:v>
                </c:pt>
                <c:pt idx="151">
                  <c:v>0.93766974481163112</c:v>
                </c:pt>
                <c:pt idx="152">
                  <c:v>0.92657959894400088</c:v>
                </c:pt>
                <c:pt idx="153">
                  <c:v>0.92921750484498311</c:v>
                </c:pt>
                <c:pt idx="154">
                  <c:v>0.93913967488097261</c:v>
                </c:pt>
                <c:pt idx="155">
                  <c:v>0.92910617983741606</c:v>
                </c:pt>
                <c:pt idx="156">
                  <c:v>0.94057493158906302</c:v>
                </c:pt>
                <c:pt idx="157">
                  <c:v>0.94287021244315872</c:v>
                </c:pt>
                <c:pt idx="158">
                  <c:v>0.94105435344722888</c:v>
                </c:pt>
                <c:pt idx="159">
                  <c:v>0.94150077670288779</c:v>
                </c:pt>
                <c:pt idx="160">
                  <c:v>0.93218718089952457</c:v>
                </c:pt>
                <c:pt idx="161">
                  <c:v>0.92998227400705047</c:v>
                </c:pt>
                <c:pt idx="162">
                  <c:v>0.91209036955776557</c:v>
                </c:pt>
                <c:pt idx="163">
                  <c:v>0.90998837521678522</c:v>
                </c:pt>
                <c:pt idx="164">
                  <c:v>0.90043270343282411</c:v>
                </c:pt>
                <c:pt idx="165">
                  <c:v>0.89636795774862676</c:v>
                </c:pt>
                <c:pt idx="166">
                  <c:v>0.89933657360270325</c:v>
                </c:pt>
                <c:pt idx="167">
                  <c:v>0.91510787889397394</c:v>
                </c:pt>
                <c:pt idx="168">
                  <c:v>0.92170369816936426</c:v>
                </c:pt>
                <c:pt idx="169">
                  <c:v>0.90601587190010946</c:v>
                </c:pt>
                <c:pt idx="170">
                  <c:v>0.90949689260716848</c:v>
                </c:pt>
                <c:pt idx="171">
                  <c:v>0.90231336250252858</c:v>
                </c:pt>
                <c:pt idx="172">
                  <c:v>0.90031180849509473</c:v>
                </c:pt>
                <c:pt idx="173">
                  <c:v>0.89815446902414342</c:v>
                </c:pt>
                <c:pt idx="174">
                  <c:v>0.90062382850396916</c:v>
                </c:pt>
                <c:pt idx="175">
                  <c:v>0.89992295192101435</c:v>
                </c:pt>
                <c:pt idx="176">
                  <c:v>0.88842733097972193</c:v>
                </c:pt>
                <c:pt idx="177">
                  <c:v>0.89967145882896959</c:v>
                </c:pt>
                <c:pt idx="178">
                  <c:v>0.90206462674384813</c:v>
                </c:pt>
                <c:pt idx="179">
                  <c:v>0.90813875421876333</c:v>
                </c:pt>
                <c:pt idx="180">
                  <c:v>0.89515335885087688</c:v>
                </c:pt>
                <c:pt idx="181">
                  <c:v>0.89611309739527711</c:v>
                </c:pt>
                <c:pt idx="182">
                  <c:v>0.87584831646079775</c:v>
                </c:pt>
                <c:pt idx="183">
                  <c:v>0.85936209566601596</c:v>
                </c:pt>
                <c:pt idx="184">
                  <c:v>0.83936233462025478</c:v>
                </c:pt>
                <c:pt idx="185">
                  <c:v>0.83484925363720697</c:v>
                </c:pt>
                <c:pt idx="186">
                  <c:v>0.85324988459544637</c:v>
                </c:pt>
                <c:pt idx="187">
                  <c:v>0.88170957653026405</c:v>
                </c:pt>
                <c:pt idx="188">
                  <c:v>0.86949776880414165</c:v>
                </c:pt>
                <c:pt idx="189">
                  <c:v>0.86027986012237978</c:v>
                </c:pt>
                <c:pt idx="190">
                  <c:v>0.82945317475030778</c:v>
                </c:pt>
                <c:pt idx="191">
                  <c:v>0.80536409504567175</c:v>
                </c:pt>
                <c:pt idx="192">
                  <c:v>0.84483395857179255</c:v>
                </c:pt>
                <c:pt idx="193">
                  <c:v>0.94605526196565881</c:v>
                </c:pt>
                <c:pt idx="194">
                  <c:v>0.92154863306327339</c:v>
                </c:pt>
                <c:pt idx="195">
                  <c:v>0.91392929541932166</c:v>
                </c:pt>
                <c:pt idx="196">
                  <c:v>0.91060796014704892</c:v>
                </c:pt>
                <c:pt idx="197">
                  <c:v>0.87331734244492365</c:v>
                </c:pt>
                <c:pt idx="198">
                  <c:v>0.85731203889530683</c:v>
                </c:pt>
                <c:pt idx="199">
                  <c:v>0.86394632960115803</c:v>
                </c:pt>
                <c:pt idx="200">
                  <c:v>0.84984983921496404</c:v>
                </c:pt>
                <c:pt idx="201">
                  <c:v>0.87576176794441984</c:v>
                </c:pt>
                <c:pt idx="202">
                  <c:v>0.89502314509295955</c:v>
                </c:pt>
                <c:pt idx="203">
                  <c:v>0.92461957771072179</c:v>
                </c:pt>
                <c:pt idx="204">
                  <c:v>0.94174261864758746</c:v>
                </c:pt>
                <c:pt idx="205">
                  <c:v>0.94425055067734598</c:v>
                </c:pt>
                <c:pt idx="206">
                  <c:v>0.93391043593235423</c:v>
                </c:pt>
                <c:pt idx="207">
                  <c:v>0.92786143221347461</c:v>
                </c:pt>
                <c:pt idx="208">
                  <c:v>0.92477364363206038</c:v>
                </c:pt>
                <c:pt idx="209">
                  <c:v>0.92799767847122006</c:v>
                </c:pt>
                <c:pt idx="210">
                  <c:v>0.93294688688046068</c:v>
                </c:pt>
                <c:pt idx="211">
                  <c:v>0.93764071368939916</c:v>
                </c:pt>
                <c:pt idx="212">
                  <c:v>0.93877144373513932</c:v>
                </c:pt>
                <c:pt idx="213">
                  <c:v>0.93410439203800033</c:v>
                </c:pt>
                <c:pt idx="214">
                  <c:v>0.91608980988988842</c:v>
                </c:pt>
                <c:pt idx="215">
                  <c:v>0.89535613679589732</c:v>
                </c:pt>
                <c:pt idx="216">
                  <c:v>0.90548883735075503</c:v>
                </c:pt>
                <c:pt idx="217">
                  <c:v>0.89032677552108863</c:v>
                </c:pt>
                <c:pt idx="218">
                  <c:v>0.90930250266267487</c:v>
                </c:pt>
                <c:pt idx="219">
                  <c:v>0.9075890272201752</c:v>
                </c:pt>
                <c:pt idx="220">
                  <c:v>0.9117437954985641</c:v>
                </c:pt>
                <c:pt idx="221">
                  <c:v>0.91051096785481844</c:v>
                </c:pt>
                <c:pt idx="222">
                  <c:v>0.91143754726720427</c:v>
                </c:pt>
                <c:pt idx="223">
                  <c:v>0.92261946463646405</c:v>
                </c:pt>
                <c:pt idx="224">
                  <c:v>0.92573177278102703</c:v>
                </c:pt>
                <c:pt idx="225">
                  <c:v>0.91869949533208328</c:v>
                </c:pt>
                <c:pt idx="226">
                  <c:v>0.915228538381613</c:v>
                </c:pt>
                <c:pt idx="227">
                  <c:v>0.91528448487536718</c:v>
                </c:pt>
                <c:pt idx="228">
                  <c:v>0.92213725993488316</c:v>
                </c:pt>
                <c:pt idx="229">
                  <c:v>0.936627980262561</c:v>
                </c:pt>
                <c:pt idx="230">
                  <c:v>0.95563011812958143</c:v>
                </c:pt>
                <c:pt idx="231">
                  <c:v>0.94682707141749001</c:v>
                </c:pt>
                <c:pt idx="232">
                  <c:v>0.96913049252417238</c:v>
                </c:pt>
                <c:pt idx="233">
                  <c:v>0.96958154629683491</c:v>
                </c:pt>
                <c:pt idx="234">
                  <c:v>0.96407827982130723</c:v>
                </c:pt>
                <c:pt idx="235">
                  <c:v>0.96032397655039126</c:v>
                </c:pt>
                <c:pt idx="236">
                  <c:v>0.9640026327915987</c:v>
                </c:pt>
                <c:pt idx="237">
                  <c:v>0.97397241384486422</c:v>
                </c:pt>
                <c:pt idx="238">
                  <c:v>0.9736221234557414</c:v>
                </c:pt>
                <c:pt idx="239">
                  <c:v>0.96848422839140191</c:v>
                </c:pt>
                <c:pt idx="240">
                  <c:v>0.94793001743016148</c:v>
                </c:pt>
                <c:pt idx="241">
                  <c:v>0.94236011578583168</c:v>
                </c:pt>
                <c:pt idx="242">
                  <c:v>0.94156705508954563</c:v>
                </c:pt>
                <c:pt idx="243">
                  <c:v>0.93639985516037472</c:v>
                </c:pt>
                <c:pt idx="244">
                  <c:v>0.9114778468270337</c:v>
                </c:pt>
                <c:pt idx="245">
                  <c:v>0.90871979919080736</c:v>
                </c:pt>
                <c:pt idx="246">
                  <c:v>0.90389679849413906</c:v>
                </c:pt>
                <c:pt idx="247">
                  <c:v>0.88706100646559438</c:v>
                </c:pt>
                <c:pt idx="248">
                  <c:v>0.90342230864969442</c:v>
                </c:pt>
                <c:pt idx="249">
                  <c:v>0.8951670304692656</c:v>
                </c:pt>
                <c:pt idx="250">
                  <c:v>0.91936335169235806</c:v>
                </c:pt>
                <c:pt idx="251">
                  <c:v>0.91605174859569982</c:v>
                </c:pt>
                <c:pt idx="252">
                  <c:v>0.93229022787110649</c:v>
                </c:pt>
                <c:pt idx="253">
                  <c:v>0.93975076128095836</c:v>
                </c:pt>
                <c:pt idx="254">
                  <c:v>0.92183910474920761</c:v>
                </c:pt>
                <c:pt idx="255">
                  <c:v>0.90866023382382566</c:v>
                </c:pt>
                <c:pt idx="256">
                  <c:v>0.90866023382382566</c:v>
                </c:pt>
                <c:pt idx="257">
                  <c:v>0.9267891677590645</c:v>
                </c:pt>
                <c:pt idx="258">
                  <c:v>0.93296441504005911</c:v>
                </c:pt>
                <c:pt idx="259">
                  <c:v>0.93464866248255785</c:v>
                </c:pt>
                <c:pt idx="260">
                  <c:v>0.94054140279459153</c:v>
                </c:pt>
                <c:pt idx="261">
                  <c:v>0.93888353100622157</c:v>
                </c:pt>
                <c:pt idx="262">
                  <c:v>0.92399975652074251</c:v>
                </c:pt>
                <c:pt idx="263">
                  <c:v>0.9281978247711975</c:v>
                </c:pt>
                <c:pt idx="264">
                  <c:v>0.9338821569238771</c:v>
                </c:pt>
                <c:pt idx="265">
                  <c:v>0.93436960398820412</c:v>
                </c:pt>
                <c:pt idx="266">
                  <c:v>0.90320423171278952</c:v>
                </c:pt>
                <c:pt idx="267">
                  <c:v>0.90352098379265411</c:v>
                </c:pt>
                <c:pt idx="268">
                  <c:v>0.89788903104978379</c:v>
                </c:pt>
                <c:pt idx="269">
                  <c:v>0.90438498483881058</c:v>
                </c:pt>
                <c:pt idx="270">
                  <c:v>0.90765824428801922</c:v>
                </c:pt>
                <c:pt idx="271">
                  <c:v>0.89474391403232167</c:v>
                </c:pt>
                <c:pt idx="272">
                  <c:v>0.88926842870290534</c:v>
                </c:pt>
                <c:pt idx="273">
                  <c:v>0.88113920129698431</c:v>
                </c:pt>
                <c:pt idx="274">
                  <c:v>0.86553845794574946</c:v>
                </c:pt>
                <c:pt idx="275">
                  <c:v>0.86447726849559614</c:v>
                </c:pt>
                <c:pt idx="276">
                  <c:v>0.85719110033204649</c:v>
                </c:pt>
                <c:pt idx="277">
                  <c:v>0.83534289885115953</c:v>
                </c:pt>
                <c:pt idx="278">
                  <c:v>0.85832989786058422</c:v>
                </c:pt>
                <c:pt idx="279">
                  <c:v>0.87481397102622793</c:v>
                </c:pt>
                <c:pt idx="280">
                  <c:v>0.86219367933542612</c:v>
                </c:pt>
                <c:pt idx="281">
                  <c:v>0.86926882204264611</c:v>
                </c:pt>
                <c:pt idx="282">
                  <c:v>0.87284515216647285</c:v>
                </c:pt>
                <c:pt idx="283">
                  <c:v>0.84500600435139939</c:v>
                </c:pt>
                <c:pt idx="284">
                  <c:v>0.83130741774663952</c:v>
                </c:pt>
                <c:pt idx="285">
                  <c:v>0.8106475051387616</c:v>
                </c:pt>
                <c:pt idx="286">
                  <c:v>0.84097731642479068</c:v>
                </c:pt>
                <c:pt idx="287">
                  <c:v>0.82916273306160648</c:v>
                </c:pt>
                <c:pt idx="288">
                  <c:v>0.83378933283809142</c:v>
                </c:pt>
                <c:pt idx="289">
                  <c:v>0.86425376823970179</c:v>
                </c:pt>
                <c:pt idx="290">
                  <c:v>0.87830576768886126</c:v>
                </c:pt>
                <c:pt idx="291">
                  <c:v>0.86343908272999847</c:v>
                </c:pt>
                <c:pt idx="292">
                  <c:v>0.86811474721391635</c:v>
                </c:pt>
                <c:pt idx="293">
                  <c:v>0.88930310092808762</c:v>
                </c:pt>
                <c:pt idx="294">
                  <c:v>0.89281912582703371</c:v>
                </c:pt>
                <c:pt idx="295">
                  <c:v>0.88030259971188496</c:v>
                </c:pt>
                <c:pt idx="296">
                  <c:v>0.89477448490511247</c:v>
                </c:pt>
                <c:pt idx="297">
                  <c:v>0.88867843524335921</c:v>
                </c:pt>
                <c:pt idx="298">
                  <c:v>0.87711854446424597</c:v>
                </c:pt>
                <c:pt idx="299">
                  <c:v>0.88255415067021459</c:v>
                </c:pt>
                <c:pt idx="300">
                  <c:v>0.85855637854563649</c:v>
                </c:pt>
                <c:pt idx="301">
                  <c:v>0.84466675402475211</c:v>
                </c:pt>
                <c:pt idx="302">
                  <c:v>0.87795618135729847</c:v>
                </c:pt>
                <c:pt idx="303">
                  <c:v>0.87058942956944474</c:v>
                </c:pt>
                <c:pt idx="304">
                  <c:v>0.88614968192131371</c:v>
                </c:pt>
                <c:pt idx="305">
                  <c:v>0.90110376998644703</c:v>
                </c:pt>
                <c:pt idx="306">
                  <c:v>0.89735824146805609</c:v>
                </c:pt>
                <c:pt idx="307">
                  <c:v>0.88898809978566895</c:v>
                </c:pt>
                <c:pt idx="308">
                  <c:v>0.89160107362416996</c:v>
                </c:pt>
                <c:pt idx="309">
                  <c:v>0.90584853209503846</c:v>
                </c:pt>
                <c:pt idx="310">
                  <c:v>0.91347791766915698</c:v>
                </c:pt>
                <c:pt idx="311">
                  <c:v>0.92482486167141031</c:v>
                </c:pt>
                <c:pt idx="312">
                  <c:v>0.92732156884312622</c:v>
                </c:pt>
                <c:pt idx="313">
                  <c:v>0.9630490228707389</c:v>
                </c:pt>
                <c:pt idx="314">
                  <c:v>0.97337029272267017</c:v>
                </c:pt>
                <c:pt idx="315">
                  <c:v>0.98321138790942153</c:v>
                </c:pt>
                <c:pt idx="316">
                  <c:v>0.96945279786486593</c:v>
                </c:pt>
                <c:pt idx="317">
                  <c:v>0.97588948810035725</c:v>
                </c:pt>
                <c:pt idx="318">
                  <c:v>0.9701335716206041</c:v>
                </c:pt>
                <c:pt idx="319">
                  <c:v>0.95591677384473428</c:v>
                </c:pt>
                <c:pt idx="320">
                  <c:v>0.95009994053918723</c:v>
                </c:pt>
                <c:pt idx="321">
                  <c:v>0.95791219435640507</c:v>
                </c:pt>
                <c:pt idx="322">
                  <c:v>0.97010798380126384</c:v>
                </c:pt>
                <c:pt idx="323">
                  <c:v>0.96169682858319017</c:v>
                </c:pt>
                <c:pt idx="324">
                  <c:v>0.95988765495658823</c:v>
                </c:pt>
                <c:pt idx="325">
                  <c:v>0.93584030457469103</c:v>
                </c:pt>
                <c:pt idx="326">
                  <c:v>0.95393890082914234</c:v>
                </c:pt>
                <c:pt idx="327">
                  <c:v>0.97014923559297195</c:v>
                </c:pt>
                <c:pt idx="328">
                  <c:v>0.97743670532339366</c:v>
                </c:pt>
                <c:pt idx="329">
                  <c:v>0.97317280728272548</c:v>
                </c:pt>
                <c:pt idx="330">
                  <c:v>0.98841065247850746</c:v>
                </c:pt>
                <c:pt idx="331">
                  <c:v>0.98123654439013519</c:v>
                </c:pt>
                <c:pt idx="332">
                  <c:v>0.98801783236158691</c:v>
                </c:pt>
                <c:pt idx="333">
                  <c:v>0.99528096847075886</c:v>
                </c:pt>
                <c:pt idx="334">
                  <c:v>1.0013473671412614</c:v>
                </c:pt>
                <c:pt idx="335">
                  <c:v>1.0037308103260427</c:v>
                </c:pt>
                <c:pt idx="336">
                  <c:v>1.0025189766770124</c:v>
                </c:pt>
                <c:pt idx="337">
                  <c:v>0.99692234554442516</c:v>
                </c:pt>
                <c:pt idx="338">
                  <c:v>0.98382522582057685</c:v>
                </c:pt>
                <c:pt idx="339">
                  <c:v>0.9916595955355465</c:v>
                </c:pt>
                <c:pt idx="340">
                  <c:v>0.99655319331051695</c:v>
                </c:pt>
                <c:pt idx="341">
                  <c:v>1.0026253974989254</c:v>
                </c:pt>
                <c:pt idx="342">
                  <c:v>0.98954621945493848</c:v>
                </c:pt>
                <c:pt idx="343">
                  <c:v>0.99599951200176084</c:v>
                </c:pt>
                <c:pt idx="344">
                  <c:v>0.97383007907916852</c:v>
                </c:pt>
                <c:pt idx="345">
                  <c:v>0.97634471781595034</c:v>
                </c:pt>
                <c:pt idx="346">
                  <c:v>0.98920720743824431</c:v>
                </c:pt>
                <c:pt idx="347">
                  <c:v>1.0022370531649325</c:v>
                </c:pt>
                <c:pt idx="348">
                  <c:v>0.99325965689355211</c:v>
                </c:pt>
                <c:pt idx="349">
                  <c:v>0.99604426610876562</c:v>
                </c:pt>
                <c:pt idx="350">
                  <c:v>1.0085816892685244</c:v>
                </c:pt>
                <c:pt idx="351">
                  <c:v>1.014423278942707</c:v>
                </c:pt>
                <c:pt idx="352">
                  <c:v>1.0111701114496605</c:v>
                </c:pt>
                <c:pt idx="353">
                  <c:v>1.0215816352633813</c:v>
                </c:pt>
                <c:pt idx="354">
                  <c:v>1.0248389617752198</c:v>
                </c:pt>
                <c:pt idx="355">
                  <c:v>1.0198056043176074</c:v>
                </c:pt>
                <c:pt idx="356">
                  <c:v>1.0137307266781841</c:v>
                </c:pt>
                <c:pt idx="357">
                  <c:v>1.0248183472334458</c:v>
                </c:pt>
                <c:pt idx="358">
                  <c:v>1.0104887867668291</c:v>
                </c:pt>
                <c:pt idx="359">
                  <c:v>1.0217591833316497</c:v>
                </c:pt>
                <c:pt idx="360">
                  <c:v>1.0215931496293331</c:v>
                </c:pt>
                <c:pt idx="361">
                  <c:v>1.0110120477971587</c:v>
                </c:pt>
                <c:pt idx="362">
                  <c:v>1.0051708129177439</c:v>
                </c:pt>
                <c:pt idx="363">
                  <c:v>1.0006309551370549</c:v>
                </c:pt>
                <c:pt idx="364">
                  <c:v>1.0029821971685475</c:v>
                </c:pt>
                <c:pt idx="365">
                  <c:v>1.0059998459720911</c:v>
                </c:pt>
                <c:pt idx="366">
                  <c:v>0.99970357354255768</c:v>
                </c:pt>
                <c:pt idx="367">
                  <c:v>0.98880346024332288</c:v>
                </c:pt>
                <c:pt idx="368">
                  <c:v>0.99324222872212786</c:v>
                </c:pt>
                <c:pt idx="369">
                  <c:v>1.0003052823264476</c:v>
                </c:pt>
                <c:pt idx="370">
                  <c:v>1.0013099046108946</c:v>
                </c:pt>
                <c:pt idx="371">
                  <c:v>0.98469462788909423</c:v>
                </c:pt>
                <c:pt idx="372">
                  <c:v>0.9816736500809371</c:v>
                </c:pt>
                <c:pt idx="373">
                  <c:v>0.98149334174872593</c:v>
                </c:pt>
                <c:pt idx="374">
                  <c:v>0.96532722842071395</c:v>
                </c:pt>
                <c:pt idx="375">
                  <c:v>0.93728436872844978</c:v>
                </c:pt>
                <c:pt idx="376">
                  <c:v>0.92691698634639863</c:v>
                </c:pt>
                <c:pt idx="377">
                  <c:v>0.93587549947759086</c:v>
                </c:pt>
                <c:pt idx="378">
                  <c:v>0.9196841610425226</c:v>
                </c:pt>
                <c:pt idx="379">
                  <c:v>0.92079582625470424</c:v>
                </c:pt>
                <c:pt idx="380">
                  <c:v>0.93993734928888339</c:v>
                </c:pt>
                <c:pt idx="381">
                  <c:v>0.91518549685439243</c:v>
                </c:pt>
                <c:pt idx="382">
                  <c:v>0.92777086162290012</c:v>
                </c:pt>
                <c:pt idx="383">
                  <c:v>0.92198947137271503</c:v>
                </c:pt>
                <c:pt idx="384">
                  <c:v>0.96377813634061704</c:v>
                </c:pt>
                <c:pt idx="385">
                  <c:v>0.96875917654968147</c:v>
                </c:pt>
                <c:pt idx="386">
                  <c:v>0.99360524084779378</c:v>
                </c:pt>
                <c:pt idx="387">
                  <c:v>0.99281782007961228</c:v>
                </c:pt>
                <c:pt idx="388">
                  <c:v>0.97670508404224976</c:v>
                </c:pt>
                <c:pt idx="389">
                  <c:v>0.96984713803713696</c:v>
                </c:pt>
                <c:pt idx="390">
                  <c:v>0.97599454871738289</c:v>
                </c:pt>
                <c:pt idx="391">
                  <c:v>0.97909600777966954</c:v>
                </c:pt>
                <c:pt idx="392">
                  <c:v>0.98494036523885242</c:v>
                </c:pt>
                <c:pt idx="393">
                  <c:v>0.97593473328172431</c:v>
                </c:pt>
                <c:pt idx="394">
                  <c:v>0.95543397068404934</c:v>
                </c:pt>
                <c:pt idx="395">
                  <c:v>0.98054525851925556</c:v>
                </c:pt>
                <c:pt idx="396">
                  <c:v>0.96901472146627166</c:v>
                </c:pt>
                <c:pt idx="397">
                  <c:v>0.96904205299661594</c:v>
                </c:pt>
                <c:pt idx="398">
                  <c:v>0.98795284008040873</c:v>
                </c:pt>
                <c:pt idx="399">
                  <c:v>0.991334224422455</c:v>
                </c:pt>
                <c:pt idx="400">
                  <c:v>0.99419946452313468</c:v>
                </c:pt>
                <c:pt idx="401">
                  <c:v>0.97303298725170428</c:v>
                </c:pt>
                <c:pt idx="402">
                  <c:v>0.99100305173734959</c:v>
                </c:pt>
                <c:pt idx="403">
                  <c:v>0.95357432698246125</c:v>
                </c:pt>
                <c:pt idx="404">
                  <c:v>0.99320683836094914</c:v>
                </c:pt>
                <c:pt idx="405">
                  <c:v>1.0103487224624805</c:v>
                </c:pt>
                <c:pt idx="406">
                  <c:v>1.0205872080282261</c:v>
                </c:pt>
                <c:pt idx="407">
                  <c:v>1.0369358618471405</c:v>
                </c:pt>
                <c:pt idx="408">
                  <c:v>1.0419856985923741</c:v>
                </c:pt>
                <c:pt idx="409">
                  <c:v>1.0454149147383491</c:v>
                </c:pt>
                <c:pt idx="410">
                  <c:v>1.0525590572761798</c:v>
                </c:pt>
                <c:pt idx="411">
                  <c:v>1.0467007349436748</c:v>
                </c:pt>
                <c:pt idx="412">
                  <c:v>1.066543867377781</c:v>
                </c:pt>
                <c:pt idx="413">
                  <c:v>1.0860331592804799</c:v>
                </c:pt>
                <c:pt idx="414">
                  <c:v>1.0697397865342211</c:v>
                </c:pt>
                <c:pt idx="415">
                  <c:v>1.0750140896073281</c:v>
                </c:pt>
                <c:pt idx="416">
                  <c:v>1.07249436733502</c:v>
                </c:pt>
                <c:pt idx="417">
                  <c:v>1.0648717652343946</c:v>
                </c:pt>
                <c:pt idx="418">
                  <c:v>1.0692068147899159</c:v>
                </c:pt>
                <c:pt idx="419">
                  <c:v>1.0634209438370634</c:v>
                </c:pt>
                <c:pt idx="420">
                  <c:v>1.0504193587934072</c:v>
                </c:pt>
                <c:pt idx="421">
                  <c:v>1.059190481789309</c:v>
                </c:pt>
                <c:pt idx="422">
                  <c:v>1.0543474540441906</c:v>
                </c:pt>
                <c:pt idx="423">
                  <c:v>1.0485912840831815</c:v>
                </c:pt>
                <c:pt idx="424">
                  <c:v>1.0607296669094399</c:v>
                </c:pt>
                <c:pt idx="425">
                  <c:v>1.071611654422163</c:v>
                </c:pt>
                <c:pt idx="426">
                  <c:v>1.0636177882413458</c:v>
                </c:pt>
                <c:pt idx="427">
                  <c:v>1.0721945147014891</c:v>
                </c:pt>
                <c:pt idx="428">
                  <c:v>1.0718085236799624</c:v>
                </c:pt>
                <c:pt idx="429">
                  <c:v>1.0688640922874661</c:v>
                </c:pt>
                <c:pt idx="430">
                  <c:v>1.0722591939988129</c:v>
                </c:pt>
                <c:pt idx="431">
                  <c:v>1.0643407671852927</c:v>
                </c:pt>
                <c:pt idx="432">
                  <c:v>1.0654651513886622</c:v>
                </c:pt>
                <c:pt idx="433">
                  <c:v>1.0617999370911386</c:v>
                </c:pt>
                <c:pt idx="434">
                  <c:v>1.0542118276097963</c:v>
                </c:pt>
                <c:pt idx="435">
                  <c:v>1.0105894267239468</c:v>
                </c:pt>
                <c:pt idx="436">
                  <c:v>0.9871534254864871</c:v>
                </c:pt>
                <c:pt idx="437">
                  <c:v>0.96679188054379717</c:v>
                </c:pt>
                <c:pt idx="438">
                  <c:v>0.99991394377446419</c:v>
                </c:pt>
                <c:pt idx="439">
                  <c:v>1.0300645060357105</c:v>
                </c:pt>
                <c:pt idx="440">
                  <c:v>1.0377230509056781</c:v>
                </c:pt>
                <c:pt idx="441">
                  <c:v>1.0237517972417729</c:v>
                </c:pt>
                <c:pt idx="442">
                  <c:v>1.0419785494727711</c:v>
                </c:pt>
                <c:pt idx="443">
                  <c:v>1.0791013542843051</c:v>
                </c:pt>
                <c:pt idx="444">
                  <c:v>1.0806793427788026</c:v>
                </c:pt>
                <c:pt idx="445">
                  <c:v>1.0788129365917225</c:v>
                </c:pt>
                <c:pt idx="446">
                  <c:v>1.0818857136072273</c:v>
                </c:pt>
                <c:pt idx="447">
                  <c:v>1.0905183187530101</c:v>
                </c:pt>
                <c:pt idx="448">
                  <c:v>1.0479101557859249</c:v>
                </c:pt>
                <c:pt idx="449">
                  <c:v>1.0491773992735638</c:v>
                </c:pt>
                <c:pt idx="450">
                  <c:v>1.0331143184407616</c:v>
                </c:pt>
                <c:pt idx="451">
                  <c:v>1.0384167812167284</c:v>
                </c:pt>
                <c:pt idx="452">
                  <c:v>1.0373191746481099</c:v>
                </c:pt>
                <c:pt idx="453">
                  <c:v>1.0550937663438198</c:v>
                </c:pt>
                <c:pt idx="454">
                  <c:v>1.065945484098175</c:v>
                </c:pt>
                <c:pt idx="455">
                  <c:v>1.0644368870880259</c:v>
                </c:pt>
                <c:pt idx="456">
                  <c:v>1.0411989013274696</c:v>
                </c:pt>
                <c:pt idx="457">
                  <c:v>1.0412374849582169</c:v>
                </c:pt>
                <c:pt idx="458">
                  <c:v>1.043614920608642</c:v>
                </c:pt>
                <c:pt idx="459">
                  <c:v>1.0708178246757907</c:v>
                </c:pt>
                <c:pt idx="460">
                  <c:v>1.0755649314518942</c:v>
                </c:pt>
                <c:pt idx="461">
                  <c:v>1.0622051233043983</c:v>
                </c:pt>
                <c:pt idx="462">
                  <c:v>1.0425243155368169</c:v>
                </c:pt>
                <c:pt idx="463">
                  <c:v>1.0462583379917705</c:v>
                </c:pt>
                <c:pt idx="464">
                  <c:v>1.0643046993207936</c:v>
                </c:pt>
                <c:pt idx="465">
                  <c:v>1.0686646247708884</c:v>
                </c:pt>
                <c:pt idx="466">
                  <c:v>1.0519413207428965</c:v>
                </c:pt>
                <c:pt idx="467">
                  <c:v>1.0811310715789428</c:v>
                </c:pt>
                <c:pt idx="468">
                  <c:v>1.0923295883923494</c:v>
                </c:pt>
                <c:pt idx="469">
                  <c:v>1.0878390497571693</c:v>
                </c:pt>
                <c:pt idx="470">
                  <c:v>1.0887195495142441</c:v>
                </c:pt>
                <c:pt idx="471">
                  <c:v>1.0844474454370086</c:v>
                </c:pt>
                <c:pt idx="472">
                  <c:v>1.0870449489168559</c:v>
                </c:pt>
                <c:pt idx="473">
                  <c:v>1.0905171415753898</c:v>
                </c:pt>
                <c:pt idx="474">
                  <c:v>1.076070673300241</c:v>
                </c:pt>
                <c:pt idx="475">
                  <c:v>1.0697193353193866</c:v>
                </c:pt>
                <c:pt idx="476">
                  <c:v>1.0768961808493933</c:v>
                </c:pt>
                <c:pt idx="477">
                  <c:v>1.0893415766551797</c:v>
                </c:pt>
                <c:pt idx="478">
                  <c:v>1.0673040075313747</c:v>
                </c:pt>
                <c:pt idx="479">
                  <c:v>1.0727587018249549</c:v>
                </c:pt>
                <c:pt idx="480">
                  <c:v>1.0585974802238338</c:v>
                </c:pt>
                <c:pt idx="481">
                  <c:v>1.078700047228756</c:v>
                </c:pt>
                <c:pt idx="482">
                  <c:v>1.0788295421252601</c:v>
                </c:pt>
                <c:pt idx="483">
                  <c:v>1.0788295421252601</c:v>
                </c:pt>
                <c:pt idx="484">
                  <c:v>1.0729710053069379</c:v>
                </c:pt>
                <c:pt idx="485">
                  <c:v>1.0838990437729099</c:v>
                </c:pt>
                <c:pt idx="486">
                  <c:v>1.0931554338578153</c:v>
                </c:pt>
                <c:pt idx="487">
                  <c:v>1.0726234015361253</c:v>
                </c:pt>
                <c:pt idx="488">
                  <c:v>1.0655840610442868</c:v>
                </c:pt>
                <c:pt idx="489">
                  <c:v>1.0638440788578354</c:v>
                </c:pt>
                <c:pt idx="490">
                  <c:v>1.0648911931821701</c:v>
                </c:pt>
                <c:pt idx="491">
                  <c:v>1.0640655025873169</c:v>
                </c:pt>
                <c:pt idx="492">
                  <c:v>1.0549088554790114</c:v>
                </c:pt>
                <c:pt idx="493">
                  <c:v>1.0711392441291103</c:v>
                </c:pt>
                <c:pt idx="494">
                  <c:v>1.0744554867202654</c:v>
                </c:pt>
                <c:pt idx="495">
                  <c:v>1.0732013154040394</c:v>
                </c:pt>
                <c:pt idx="496">
                  <c:v>1.0775661106447165</c:v>
                </c:pt>
                <c:pt idx="497">
                  <c:v>1.0753639182650563</c:v>
                </c:pt>
                <c:pt idx="498">
                  <c:v>1.0733069675400664</c:v>
                </c:pt>
                <c:pt idx="499">
                  <c:v>1.0769466586795877</c:v>
                </c:pt>
                <c:pt idx="500">
                  <c:v>1.0867980782648567</c:v>
                </c:pt>
                <c:pt idx="501">
                  <c:v>1.0751153067514707</c:v>
                </c:pt>
                <c:pt idx="502">
                  <c:v>1.0751153067514707</c:v>
                </c:pt>
                <c:pt idx="503">
                  <c:v>1.0657355937162807</c:v>
                </c:pt>
                <c:pt idx="504">
                  <c:v>1.0561297225534192</c:v>
                </c:pt>
                <c:pt idx="505">
                  <c:v>1.0727234619069819</c:v>
                </c:pt>
                <c:pt idx="506">
                  <c:v>1.0670885094209863</c:v>
                </c:pt>
                <c:pt idx="507">
                  <c:v>1.0613417879963096</c:v>
                </c:pt>
                <c:pt idx="508">
                  <c:v>1.0744727880356262</c:v>
                </c:pt>
                <c:pt idx="509">
                  <c:v>1.0827215749065147</c:v>
                </c:pt>
                <c:pt idx="510">
                  <c:v>1.0750941423117553</c:v>
                </c:pt>
                <c:pt idx="511">
                  <c:v>1.0745690200367499</c:v>
                </c:pt>
                <c:pt idx="512">
                  <c:v>1.0392582672262467</c:v>
                </c:pt>
                <c:pt idx="513">
                  <c:v>1.0403465397580502</c:v>
                </c:pt>
                <c:pt idx="514">
                  <c:v>1.0358688985819766</c:v>
                </c:pt>
                <c:pt idx="515">
                  <c:v>1.0447328085825736</c:v>
                </c:pt>
                <c:pt idx="516">
                  <c:v>1.0214401767299708</c:v>
                </c:pt>
                <c:pt idx="517">
                  <c:v>1.0284244987539775</c:v>
                </c:pt>
                <c:pt idx="518">
                  <c:v>1.0233822445881513</c:v>
                </c:pt>
                <c:pt idx="519">
                  <c:v>1.0181621421128568</c:v>
                </c:pt>
                <c:pt idx="520">
                  <c:v>1.0429095707460982</c:v>
                </c:pt>
                <c:pt idx="521">
                  <c:v>1.0445708416626931</c:v>
                </c:pt>
                <c:pt idx="522">
                  <c:v>1.0593452577153712</c:v>
                </c:pt>
                <c:pt idx="523">
                  <c:v>1.0547487048490192</c:v>
                </c:pt>
                <c:pt idx="524">
                  <c:v>1.0566139908360883</c:v>
                </c:pt>
                <c:pt idx="525">
                  <c:v>1.0662704697584329</c:v>
                </c:pt>
                <c:pt idx="526">
                  <c:v>1.0699834757408153</c:v>
                </c:pt>
                <c:pt idx="527">
                  <c:v>1.0632532752482922</c:v>
                </c:pt>
                <c:pt idx="528">
                  <c:v>1.0688140288642503</c:v>
                </c:pt>
                <c:pt idx="529">
                  <c:v>1.0679356437763214</c:v>
                </c:pt>
                <c:pt idx="530">
                  <c:v>1.0597607799327036</c:v>
                </c:pt>
                <c:pt idx="531">
                  <c:v>1.0568369732444634</c:v>
                </c:pt>
                <c:pt idx="532">
                  <c:v>1.0543748088688814</c:v>
                </c:pt>
                <c:pt idx="533">
                  <c:v>1.0452844670265646</c:v>
                </c:pt>
                <c:pt idx="534">
                  <c:v>1.0439481818351077</c:v>
                </c:pt>
                <c:pt idx="535">
                  <c:v>1.0457279989801291</c:v>
                </c:pt>
                <c:pt idx="536">
                  <c:v>1.0351841526214689</c:v>
                </c:pt>
                <c:pt idx="537">
                  <c:v>1.0138705730152893</c:v>
                </c:pt>
                <c:pt idx="538">
                  <c:v>1.0181148752808165</c:v>
                </c:pt>
                <c:pt idx="539">
                  <c:v>1.0090630525837909</c:v>
                </c:pt>
                <c:pt idx="540">
                  <c:v>1.0232884301517626</c:v>
                </c:pt>
                <c:pt idx="541">
                  <c:v>1.0376862678605718</c:v>
                </c:pt>
                <c:pt idx="542">
                  <c:v>1.0364621767810673</c:v>
                </c:pt>
                <c:pt idx="543">
                  <c:v>1.0409505446616376</c:v>
                </c:pt>
                <c:pt idx="544">
                  <c:v>1.0155378102325492</c:v>
                </c:pt>
                <c:pt idx="545">
                  <c:v>1.0059582806999581</c:v>
                </c:pt>
                <c:pt idx="546">
                  <c:v>1.0135001463522593</c:v>
                </c:pt>
                <c:pt idx="547">
                  <c:v>1.0140007647519642</c:v>
                </c:pt>
                <c:pt idx="548">
                  <c:v>1.0179515231618113</c:v>
                </c:pt>
                <c:pt idx="549">
                  <c:v>1.0237723276149229</c:v>
                </c:pt>
                <c:pt idx="550">
                  <c:v>1.0121497660923318</c:v>
                </c:pt>
                <c:pt idx="551">
                  <c:v>1.0055695001764771</c:v>
                </c:pt>
                <c:pt idx="552">
                  <c:v>1.0062406396708394</c:v>
                </c:pt>
                <c:pt idx="553">
                  <c:v>0.99623888245449632</c:v>
                </c:pt>
                <c:pt idx="554">
                  <c:v>0.98291073214154712</c:v>
                </c:pt>
                <c:pt idx="555">
                  <c:v>0.97332987383442826</c:v>
                </c:pt>
                <c:pt idx="556">
                  <c:v>0.96763246204521169</c:v>
                </c:pt>
                <c:pt idx="557">
                  <c:v>0.98148237273670835</c:v>
                </c:pt>
                <c:pt idx="558">
                  <c:v>0.96889708889405202</c:v>
                </c:pt>
                <c:pt idx="559">
                  <c:v>0.95567378107254175</c:v>
                </c:pt>
                <c:pt idx="560">
                  <c:v>0.98400883283792129</c:v>
                </c:pt>
                <c:pt idx="561">
                  <c:v>0.94936986123024392</c:v>
                </c:pt>
                <c:pt idx="562">
                  <c:v>0.95085829822109824</c:v>
                </c:pt>
                <c:pt idx="563">
                  <c:v>0.95597954743737779</c:v>
                </c:pt>
                <c:pt idx="564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3+4'!$O$2</c:f>
              <c:strCache>
                <c:ptCount val="1"/>
                <c:pt idx="0">
                  <c:v>DAX </c:v>
                </c:pt>
              </c:strCache>
            </c:strRef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3+4'!$L$3:$L$567</c:f>
              <c:numCache>
                <c:formatCode>m/d/yyyy</c:formatCode>
                <c:ptCount val="565"/>
                <c:pt idx="0">
                  <c:v>42824</c:v>
                </c:pt>
                <c:pt idx="1">
                  <c:v>42823</c:v>
                </c:pt>
                <c:pt idx="2">
                  <c:v>42822</c:v>
                </c:pt>
                <c:pt idx="3">
                  <c:v>42821</c:v>
                </c:pt>
                <c:pt idx="4">
                  <c:v>42818</c:v>
                </c:pt>
                <c:pt idx="5">
                  <c:v>42817</c:v>
                </c:pt>
                <c:pt idx="6">
                  <c:v>42816</c:v>
                </c:pt>
                <c:pt idx="7">
                  <c:v>42815</c:v>
                </c:pt>
                <c:pt idx="8">
                  <c:v>42814</c:v>
                </c:pt>
                <c:pt idx="9">
                  <c:v>42811</c:v>
                </c:pt>
                <c:pt idx="10">
                  <c:v>42810</c:v>
                </c:pt>
                <c:pt idx="11">
                  <c:v>42809</c:v>
                </c:pt>
                <c:pt idx="12">
                  <c:v>42808</c:v>
                </c:pt>
                <c:pt idx="13">
                  <c:v>42807</c:v>
                </c:pt>
                <c:pt idx="14">
                  <c:v>42804</c:v>
                </c:pt>
                <c:pt idx="15">
                  <c:v>42803</c:v>
                </c:pt>
                <c:pt idx="16">
                  <c:v>42802</c:v>
                </c:pt>
                <c:pt idx="17">
                  <c:v>42801</c:v>
                </c:pt>
                <c:pt idx="18">
                  <c:v>42800</c:v>
                </c:pt>
                <c:pt idx="19">
                  <c:v>42797</c:v>
                </c:pt>
                <c:pt idx="20">
                  <c:v>42796</c:v>
                </c:pt>
                <c:pt idx="21">
                  <c:v>42795</c:v>
                </c:pt>
                <c:pt idx="22">
                  <c:v>42794</c:v>
                </c:pt>
                <c:pt idx="23">
                  <c:v>42793</c:v>
                </c:pt>
                <c:pt idx="24">
                  <c:v>42790</c:v>
                </c:pt>
                <c:pt idx="25">
                  <c:v>42789</c:v>
                </c:pt>
                <c:pt idx="26">
                  <c:v>42788</c:v>
                </c:pt>
                <c:pt idx="27">
                  <c:v>42787</c:v>
                </c:pt>
                <c:pt idx="28">
                  <c:v>42783</c:v>
                </c:pt>
                <c:pt idx="29">
                  <c:v>42782</c:v>
                </c:pt>
                <c:pt idx="30">
                  <c:v>42781</c:v>
                </c:pt>
                <c:pt idx="31">
                  <c:v>42780</c:v>
                </c:pt>
                <c:pt idx="32">
                  <c:v>42779</c:v>
                </c:pt>
                <c:pt idx="33">
                  <c:v>42776</c:v>
                </c:pt>
                <c:pt idx="34">
                  <c:v>42775</c:v>
                </c:pt>
                <c:pt idx="35">
                  <c:v>42774</c:v>
                </c:pt>
                <c:pt idx="36">
                  <c:v>42773</c:v>
                </c:pt>
                <c:pt idx="37">
                  <c:v>42772</c:v>
                </c:pt>
                <c:pt idx="38">
                  <c:v>42769</c:v>
                </c:pt>
                <c:pt idx="39">
                  <c:v>42768</c:v>
                </c:pt>
                <c:pt idx="40">
                  <c:v>42767</c:v>
                </c:pt>
                <c:pt idx="41">
                  <c:v>42766</c:v>
                </c:pt>
                <c:pt idx="42">
                  <c:v>42765</c:v>
                </c:pt>
                <c:pt idx="43">
                  <c:v>42762</c:v>
                </c:pt>
                <c:pt idx="44">
                  <c:v>42761</c:v>
                </c:pt>
                <c:pt idx="45">
                  <c:v>42760</c:v>
                </c:pt>
                <c:pt idx="46">
                  <c:v>42759</c:v>
                </c:pt>
                <c:pt idx="47">
                  <c:v>42758</c:v>
                </c:pt>
                <c:pt idx="48">
                  <c:v>42755</c:v>
                </c:pt>
                <c:pt idx="49">
                  <c:v>42754</c:v>
                </c:pt>
                <c:pt idx="50">
                  <c:v>42753</c:v>
                </c:pt>
                <c:pt idx="51">
                  <c:v>42752</c:v>
                </c:pt>
                <c:pt idx="52">
                  <c:v>42748</c:v>
                </c:pt>
                <c:pt idx="53">
                  <c:v>42747</c:v>
                </c:pt>
                <c:pt idx="54">
                  <c:v>42746</c:v>
                </c:pt>
                <c:pt idx="55">
                  <c:v>42745</c:v>
                </c:pt>
                <c:pt idx="56">
                  <c:v>42744</c:v>
                </c:pt>
                <c:pt idx="57">
                  <c:v>42741</c:v>
                </c:pt>
                <c:pt idx="58">
                  <c:v>42740</c:v>
                </c:pt>
                <c:pt idx="59">
                  <c:v>42739</c:v>
                </c:pt>
                <c:pt idx="60">
                  <c:v>42738</c:v>
                </c:pt>
                <c:pt idx="61">
                  <c:v>42734</c:v>
                </c:pt>
                <c:pt idx="62">
                  <c:v>42733</c:v>
                </c:pt>
                <c:pt idx="63">
                  <c:v>42732</c:v>
                </c:pt>
                <c:pt idx="64">
                  <c:v>42731</c:v>
                </c:pt>
                <c:pt idx="65">
                  <c:v>42727</c:v>
                </c:pt>
                <c:pt idx="66">
                  <c:v>42726</c:v>
                </c:pt>
                <c:pt idx="67">
                  <c:v>42725</c:v>
                </c:pt>
                <c:pt idx="68">
                  <c:v>42724</c:v>
                </c:pt>
                <c:pt idx="69">
                  <c:v>42723</c:v>
                </c:pt>
                <c:pt idx="70">
                  <c:v>42720</c:v>
                </c:pt>
                <c:pt idx="71">
                  <c:v>42719</c:v>
                </c:pt>
                <c:pt idx="72">
                  <c:v>42718</c:v>
                </c:pt>
                <c:pt idx="73">
                  <c:v>42717</c:v>
                </c:pt>
                <c:pt idx="74">
                  <c:v>42716</c:v>
                </c:pt>
                <c:pt idx="75">
                  <c:v>42713</c:v>
                </c:pt>
                <c:pt idx="76">
                  <c:v>42712</c:v>
                </c:pt>
                <c:pt idx="77">
                  <c:v>42711</c:v>
                </c:pt>
                <c:pt idx="78">
                  <c:v>42710</c:v>
                </c:pt>
                <c:pt idx="79">
                  <c:v>42709</c:v>
                </c:pt>
                <c:pt idx="80">
                  <c:v>42706</c:v>
                </c:pt>
                <c:pt idx="81">
                  <c:v>42705</c:v>
                </c:pt>
                <c:pt idx="82">
                  <c:v>42704</c:v>
                </c:pt>
                <c:pt idx="83">
                  <c:v>42703</c:v>
                </c:pt>
                <c:pt idx="84">
                  <c:v>42702</c:v>
                </c:pt>
                <c:pt idx="85">
                  <c:v>42699</c:v>
                </c:pt>
                <c:pt idx="86">
                  <c:v>42697</c:v>
                </c:pt>
                <c:pt idx="87">
                  <c:v>42696</c:v>
                </c:pt>
                <c:pt idx="88">
                  <c:v>42695</c:v>
                </c:pt>
                <c:pt idx="89">
                  <c:v>42692</c:v>
                </c:pt>
                <c:pt idx="90">
                  <c:v>42691</c:v>
                </c:pt>
                <c:pt idx="91">
                  <c:v>42690</c:v>
                </c:pt>
                <c:pt idx="92">
                  <c:v>42689</c:v>
                </c:pt>
                <c:pt idx="93">
                  <c:v>42688</c:v>
                </c:pt>
                <c:pt idx="94">
                  <c:v>42685</c:v>
                </c:pt>
                <c:pt idx="95">
                  <c:v>42684</c:v>
                </c:pt>
                <c:pt idx="96">
                  <c:v>42683</c:v>
                </c:pt>
                <c:pt idx="97">
                  <c:v>42682</c:v>
                </c:pt>
                <c:pt idx="98">
                  <c:v>42681</c:v>
                </c:pt>
                <c:pt idx="99">
                  <c:v>42678</c:v>
                </c:pt>
                <c:pt idx="100">
                  <c:v>42677</c:v>
                </c:pt>
                <c:pt idx="101">
                  <c:v>42676</c:v>
                </c:pt>
                <c:pt idx="102">
                  <c:v>42675</c:v>
                </c:pt>
                <c:pt idx="103">
                  <c:v>42674</c:v>
                </c:pt>
                <c:pt idx="104">
                  <c:v>42671</c:v>
                </c:pt>
                <c:pt idx="105">
                  <c:v>42670</c:v>
                </c:pt>
                <c:pt idx="106">
                  <c:v>42669</c:v>
                </c:pt>
                <c:pt idx="107">
                  <c:v>42668</c:v>
                </c:pt>
                <c:pt idx="108">
                  <c:v>42667</c:v>
                </c:pt>
                <c:pt idx="109">
                  <c:v>42664</c:v>
                </c:pt>
                <c:pt idx="110">
                  <c:v>42663</c:v>
                </c:pt>
                <c:pt idx="111">
                  <c:v>42662</c:v>
                </c:pt>
                <c:pt idx="112">
                  <c:v>42661</c:v>
                </c:pt>
                <c:pt idx="113">
                  <c:v>42660</c:v>
                </c:pt>
                <c:pt idx="114">
                  <c:v>42657</c:v>
                </c:pt>
                <c:pt idx="115">
                  <c:v>42656</c:v>
                </c:pt>
                <c:pt idx="116">
                  <c:v>42655</c:v>
                </c:pt>
                <c:pt idx="117">
                  <c:v>42654</c:v>
                </c:pt>
                <c:pt idx="118">
                  <c:v>42653</c:v>
                </c:pt>
                <c:pt idx="119">
                  <c:v>42650</c:v>
                </c:pt>
                <c:pt idx="120">
                  <c:v>42649</c:v>
                </c:pt>
                <c:pt idx="121">
                  <c:v>42648</c:v>
                </c:pt>
                <c:pt idx="122">
                  <c:v>42647</c:v>
                </c:pt>
                <c:pt idx="123">
                  <c:v>42646</c:v>
                </c:pt>
                <c:pt idx="124">
                  <c:v>42643</c:v>
                </c:pt>
                <c:pt idx="125">
                  <c:v>42642</c:v>
                </c:pt>
                <c:pt idx="126">
                  <c:v>42641</c:v>
                </c:pt>
                <c:pt idx="127">
                  <c:v>42640</c:v>
                </c:pt>
                <c:pt idx="128">
                  <c:v>42639</c:v>
                </c:pt>
                <c:pt idx="129">
                  <c:v>42636</c:v>
                </c:pt>
                <c:pt idx="130">
                  <c:v>42635</c:v>
                </c:pt>
                <c:pt idx="131">
                  <c:v>42634</c:v>
                </c:pt>
                <c:pt idx="132">
                  <c:v>42633</c:v>
                </c:pt>
                <c:pt idx="133">
                  <c:v>42632</c:v>
                </c:pt>
                <c:pt idx="134">
                  <c:v>42629</c:v>
                </c:pt>
                <c:pt idx="135">
                  <c:v>42628</c:v>
                </c:pt>
                <c:pt idx="136">
                  <c:v>42627</c:v>
                </c:pt>
                <c:pt idx="137">
                  <c:v>42626</c:v>
                </c:pt>
                <c:pt idx="138">
                  <c:v>42625</c:v>
                </c:pt>
                <c:pt idx="139">
                  <c:v>42622</c:v>
                </c:pt>
                <c:pt idx="140">
                  <c:v>42621</c:v>
                </c:pt>
                <c:pt idx="141">
                  <c:v>42620</c:v>
                </c:pt>
                <c:pt idx="142">
                  <c:v>42619</c:v>
                </c:pt>
                <c:pt idx="143">
                  <c:v>42615</c:v>
                </c:pt>
                <c:pt idx="144">
                  <c:v>42614</c:v>
                </c:pt>
                <c:pt idx="145">
                  <c:v>42613</c:v>
                </c:pt>
                <c:pt idx="146">
                  <c:v>42612</c:v>
                </c:pt>
                <c:pt idx="147">
                  <c:v>42611</c:v>
                </c:pt>
                <c:pt idx="148">
                  <c:v>42608</c:v>
                </c:pt>
                <c:pt idx="149">
                  <c:v>42607</c:v>
                </c:pt>
                <c:pt idx="150">
                  <c:v>42606</c:v>
                </c:pt>
                <c:pt idx="151">
                  <c:v>42605</c:v>
                </c:pt>
                <c:pt idx="152">
                  <c:v>42604</c:v>
                </c:pt>
                <c:pt idx="153">
                  <c:v>42601</c:v>
                </c:pt>
                <c:pt idx="154">
                  <c:v>42600</c:v>
                </c:pt>
                <c:pt idx="155">
                  <c:v>42599</c:v>
                </c:pt>
                <c:pt idx="156">
                  <c:v>42598</c:v>
                </c:pt>
                <c:pt idx="157">
                  <c:v>42597</c:v>
                </c:pt>
                <c:pt idx="158">
                  <c:v>42594</c:v>
                </c:pt>
                <c:pt idx="159">
                  <c:v>42593</c:v>
                </c:pt>
                <c:pt idx="160">
                  <c:v>42592</c:v>
                </c:pt>
                <c:pt idx="161">
                  <c:v>42591</c:v>
                </c:pt>
                <c:pt idx="162">
                  <c:v>42590</c:v>
                </c:pt>
                <c:pt idx="163">
                  <c:v>42587</c:v>
                </c:pt>
                <c:pt idx="164">
                  <c:v>42586</c:v>
                </c:pt>
                <c:pt idx="165">
                  <c:v>42585</c:v>
                </c:pt>
                <c:pt idx="166">
                  <c:v>42584</c:v>
                </c:pt>
                <c:pt idx="167">
                  <c:v>42583</c:v>
                </c:pt>
                <c:pt idx="168">
                  <c:v>42580</c:v>
                </c:pt>
                <c:pt idx="169">
                  <c:v>42579</c:v>
                </c:pt>
                <c:pt idx="170">
                  <c:v>42578</c:v>
                </c:pt>
                <c:pt idx="171">
                  <c:v>42577</c:v>
                </c:pt>
                <c:pt idx="172">
                  <c:v>42576</c:v>
                </c:pt>
                <c:pt idx="173">
                  <c:v>42573</c:v>
                </c:pt>
                <c:pt idx="174">
                  <c:v>42572</c:v>
                </c:pt>
                <c:pt idx="175">
                  <c:v>42571</c:v>
                </c:pt>
                <c:pt idx="176">
                  <c:v>42570</c:v>
                </c:pt>
                <c:pt idx="177">
                  <c:v>42569</c:v>
                </c:pt>
                <c:pt idx="178">
                  <c:v>42566</c:v>
                </c:pt>
                <c:pt idx="179">
                  <c:v>42565</c:v>
                </c:pt>
                <c:pt idx="180">
                  <c:v>42564</c:v>
                </c:pt>
                <c:pt idx="181">
                  <c:v>42563</c:v>
                </c:pt>
                <c:pt idx="182">
                  <c:v>42562</c:v>
                </c:pt>
                <c:pt idx="183">
                  <c:v>42559</c:v>
                </c:pt>
                <c:pt idx="184">
                  <c:v>42558</c:v>
                </c:pt>
                <c:pt idx="185">
                  <c:v>42557</c:v>
                </c:pt>
                <c:pt idx="186">
                  <c:v>42556</c:v>
                </c:pt>
                <c:pt idx="187">
                  <c:v>42552</c:v>
                </c:pt>
                <c:pt idx="188">
                  <c:v>42551</c:v>
                </c:pt>
                <c:pt idx="189">
                  <c:v>42550</c:v>
                </c:pt>
                <c:pt idx="190">
                  <c:v>42549</c:v>
                </c:pt>
                <c:pt idx="191">
                  <c:v>42548</c:v>
                </c:pt>
                <c:pt idx="192">
                  <c:v>42545</c:v>
                </c:pt>
                <c:pt idx="193">
                  <c:v>42544</c:v>
                </c:pt>
                <c:pt idx="194">
                  <c:v>42543</c:v>
                </c:pt>
                <c:pt idx="195">
                  <c:v>42542</c:v>
                </c:pt>
                <c:pt idx="196">
                  <c:v>42541</c:v>
                </c:pt>
                <c:pt idx="197">
                  <c:v>42538</c:v>
                </c:pt>
                <c:pt idx="198">
                  <c:v>42537</c:v>
                </c:pt>
                <c:pt idx="199">
                  <c:v>42536</c:v>
                </c:pt>
                <c:pt idx="200">
                  <c:v>42535</c:v>
                </c:pt>
                <c:pt idx="201">
                  <c:v>42534</c:v>
                </c:pt>
                <c:pt idx="202">
                  <c:v>42531</c:v>
                </c:pt>
                <c:pt idx="203">
                  <c:v>42530</c:v>
                </c:pt>
                <c:pt idx="204">
                  <c:v>42529</c:v>
                </c:pt>
                <c:pt idx="205">
                  <c:v>42528</c:v>
                </c:pt>
                <c:pt idx="206">
                  <c:v>42527</c:v>
                </c:pt>
                <c:pt idx="207">
                  <c:v>42524</c:v>
                </c:pt>
                <c:pt idx="208">
                  <c:v>42523</c:v>
                </c:pt>
                <c:pt idx="209">
                  <c:v>42522</c:v>
                </c:pt>
                <c:pt idx="210">
                  <c:v>42521</c:v>
                </c:pt>
                <c:pt idx="211">
                  <c:v>42517</c:v>
                </c:pt>
                <c:pt idx="212">
                  <c:v>42516</c:v>
                </c:pt>
                <c:pt idx="213">
                  <c:v>42515</c:v>
                </c:pt>
                <c:pt idx="214">
                  <c:v>42514</c:v>
                </c:pt>
                <c:pt idx="215">
                  <c:v>42513</c:v>
                </c:pt>
                <c:pt idx="216">
                  <c:v>42510</c:v>
                </c:pt>
                <c:pt idx="217">
                  <c:v>42509</c:v>
                </c:pt>
                <c:pt idx="218">
                  <c:v>42508</c:v>
                </c:pt>
                <c:pt idx="219">
                  <c:v>42507</c:v>
                </c:pt>
                <c:pt idx="220">
                  <c:v>42506</c:v>
                </c:pt>
                <c:pt idx="221">
                  <c:v>42503</c:v>
                </c:pt>
                <c:pt idx="222">
                  <c:v>42502</c:v>
                </c:pt>
                <c:pt idx="223">
                  <c:v>42501</c:v>
                </c:pt>
                <c:pt idx="224">
                  <c:v>42500</c:v>
                </c:pt>
                <c:pt idx="225">
                  <c:v>42499</c:v>
                </c:pt>
                <c:pt idx="226">
                  <c:v>42496</c:v>
                </c:pt>
                <c:pt idx="227">
                  <c:v>42495</c:v>
                </c:pt>
                <c:pt idx="228">
                  <c:v>42494</c:v>
                </c:pt>
                <c:pt idx="229">
                  <c:v>42493</c:v>
                </c:pt>
                <c:pt idx="230">
                  <c:v>42492</c:v>
                </c:pt>
                <c:pt idx="231">
                  <c:v>42489</c:v>
                </c:pt>
                <c:pt idx="232">
                  <c:v>42488</c:v>
                </c:pt>
                <c:pt idx="233">
                  <c:v>42487</c:v>
                </c:pt>
                <c:pt idx="234">
                  <c:v>42486</c:v>
                </c:pt>
                <c:pt idx="235">
                  <c:v>42485</c:v>
                </c:pt>
                <c:pt idx="236">
                  <c:v>42482</c:v>
                </c:pt>
                <c:pt idx="237">
                  <c:v>42481</c:v>
                </c:pt>
                <c:pt idx="238">
                  <c:v>42480</c:v>
                </c:pt>
                <c:pt idx="239">
                  <c:v>42479</c:v>
                </c:pt>
                <c:pt idx="240">
                  <c:v>42478</c:v>
                </c:pt>
                <c:pt idx="241">
                  <c:v>42475</c:v>
                </c:pt>
                <c:pt idx="242">
                  <c:v>42474</c:v>
                </c:pt>
                <c:pt idx="243">
                  <c:v>42473</c:v>
                </c:pt>
                <c:pt idx="244">
                  <c:v>42472</c:v>
                </c:pt>
                <c:pt idx="245">
                  <c:v>42471</c:v>
                </c:pt>
                <c:pt idx="246">
                  <c:v>42468</c:v>
                </c:pt>
                <c:pt idx="247">
                  <c:v>42467</c:v>
                </c:pt>
                <c:pt idx="248">
                  <c:v>42466</c:v>
                </c:pt>
                <c:pt idx="249">
                  <c:v>42465</c:v>
                </c:pt>
                <c:pt idx="250">
                  <c:v>42464</c:v>
                </c:pt>
                <c:pt idx="251">
                  <c:v>42461</c:v>
                </c:pt>
                <c:pt idx="252">
                  <c:v>42460</c:v>
                </c:pt>
                <c:pt idx="253">
                  <c:v>42459</c:v>
                </c:pt>
                <c:pt idx="254">
                  <c:v>42458</c:v>
                </c:pt>
                <c:pt idx="255">
                  <c:v>42457</c:v>
                </c:pt>
                <c:pt idx="256">
                  <c:v>42453</c:v>
                </c:pt>
                <c:pt idx="257">
                  <c:v>42452</c:v>
                </c:pt>
                <c:pt idx="258">
                  <c:v>42451</c:v>
                </c:pt>
                <c:pt idx="259">
                  <c:v>42450</c:v>
                </c:pt>
                <c:pt idx="260">
                  <c:v>42447</c:v>
                </c:pt>
                <c:pt idx="261">
                  <c:v>42446</c:v>
                </c:pt>
                <c:pt idx="262">
                  <c:v>42445</c:v>
                </c:pt>
                <c:pt idx="263">
                  <c:v>42444</c:v>
                </c:pt>
                <c:pt idx="264">
                  <c:v>42443</c:v>
                </c:pt>
                <c:pt idx="265">
                  <c:v>42440</c:v>
                </c:pt>
                <c:pt idx="266">
                  <c:v>42439</c:v>
                </c:pt>
                <c:pt idx="267">
                  <c:v>42438</c:v>
                </c:pt>
                <c:pt idx="268">
                  <c:v>42437</c:v>
                </c:pt>
                <c:pt idx="269">
                  <c:v>42436</c:v>
                </c:pt>
                <c:pt idx="270">
                  <c:v>42433</c:v>
                </c:pt>
                <c:pt idx="271">
                  <c:v>42432</c:v>
                </c:pt>
                <c:pt idx="272">
                  <c:v>42431</c:v>
                </c:pt>
                <c:pt idx="273">
                  <c:v>42430</c:v>
                </c:pt>
                <c:pt idx="274">
                  <c:v>42429</c:v>
                </c:pt>
                <c:pt idx="275">
                  <c:v>42426</c:v>
                </c:pt>
                <c:pt idx="276">
                  <c:v>42425</c:v>
                </c:pt>
                <c:pt idx="277">
                  <c:v>42424</c:v>
                </c:pt>
                <c:pt idx="278">
                  <c:v>42423</c:v>
                </c:pt>
                <c:pt idx="279">
                  <c:v>42422</c:v>
                </c:pt>
                <c:pt idx="280">
                  <c:v>42419</c:v>
                </c:pt>
                <c:pt idx="281">
                  <c:v>42418</c:v>
                </c:pt>
                <c:pt idx="282">
                  <c:v>42417</c:v>
                </c:pt>
                <c:pt idx="283">
                  <c:v>42416</c:v>
                </c:pt>
                <c:pt idx="284">
                  <c:v>42412</c:v>
                </c:pt>
                <c:pt idx="285">
                  <c:v>42411</c:v>
                </c:pt>
                <c:pt idx="286">
                  <c:v>42410</c:v>
                </c:pt>
                <c:pt idx="287">
                  <c:v>42409</c:v>
                </c:pt>
                <c:pt idx="288">
                  <c:v>42408</c:v>
                </c:pt>
                <c:pt idx="289">
                  <c:v>42405</c:v>
                </c:pt>
                <c:pt idx="290">
                  <c:v>42404</c:v>
                </c:pt>
                <c:pt idx="291">
                  <c:v>42403</c:v>
                </c:pt>
                <c:pt idx="292">
                  <c:v>42402</c:v>
                </c:pt>
                <c:pt idx="293">
                  <c:v>42401</c:v>
                </c:pt>
                <c:pt idx="294">
                  <c:v>42398</c:v>
                </c:pt>
                <c:pt idx="295">
                  <c:v>42397</c:v>
                </c:pt>
                <c:pt idx="296">
                  <c:v>42396</c:v>
                </c:pt>
                <c:pt idx="297">
                  <c:v>42395</c:v>
                </c:pt>
                <c:pt idx="298">
                  <c:v>42394</c:v>
                </c:pt>
                <c:pt idx="299">
                  <c:v>42391</c:v>
                </c:pt>
                <c:pt idx="300">
                  <c:v>42390</c:v>
                </c:pt>
                <c:pt idx="301">
                  <c:v>42389</c:v>
                </c:pt>
                <c:pt idx="302">
                  <c:v>42388</c:v>
                </c:pt>
                <c:pt idx="303">
                  <c:v>42384</c:v>
                </c:pt>
                <c:pt idx="304">
                  <c:v>42383</c:v>
                </c:pt>
                <c:pt idx="305">
                  <c:v>42382</c:v>
                </c:pt>
                <c:pt idx="306">
                  <c:v>42381</c:v>
                </c:pt>
                <c:pt idx="307">
                  <c:v>42380</c:v>
                </c:pt>
                <c:pt idx="308">
                  <c:v>42377</c:v>
                </c:pt>
                <c:pt idx="309">
                  <c:v>42376</c:v>
                </c:pt>
                <c:pt idx="310">
                  <c:v>42375</c:v>
                </c:pt>
                <c:pt idx="311">
                  <c:v>42374</c:v>
                </c:pt>
                <c:pt idx="312">
                  <c:v>42373</c:v>
                </c:pt>
                <c:pt idx="313">
                  <c:v>42369</c:v>
                </c:pt>
                <c:pt idx="314">
                  <c:v>42368</c:v>
                </c:pt>
                <c:pt idx="315">
                  <c:v>42367</c:v>
                </c:pt>
                <c:pt idx="316">
                  <c:v>42366</c:v>
                </c:pt>
                <c:pt idx="317">
                  <c:v>42362</c:v>
                </c:pt>
                <c:pt idx="318">
                  <c:v>42361</c:v>
                </c:pt>
                <c:pt idx="319">
                  <c:v>42360</c:v>
                </c:pt>
                <c:pt idx="320">
                  <c:v>42359</c:v>
                </c:pt>
                <c:pt idx="321">
                  <c:v>42356</c:v>
                </c:pt>
                <c:pt idx="322">
                  <c:v>42355</c:v>
                </c:pt>
                <c:pt idx="323">
                  <c:v>42354</c:v>
                </c:pt>
                <c:pt idx="324">
                  <c:v>42353</c:v>
                </c:pt>
                <c:pt idx="325">
                  <c:v>42352</c:v>
                </c:pt>
                <c:pt idx="326">
                  <c:v>42349</c:v>
                </c:pt>
                <c:pt idx="327">
                  <c:v>42348</c:v>
                </c:pt>
                <c:pt idx="328">
                  <c:v>42347</c:v>
                </c:pt>
                <c:pt idx="329">
                  <c:v>42346</c:v>
                </c:pt>
                <c:pt idx="330">
                  <c:v>42345</c:v>
                </c:pt>
                <c:pt idx="331">
                  <c:v>42342</c:v>
                </c:pt>
                <c:pt idx="332">
                  <c:v>42341</c:v>
                </c:pt>
                <c:pt idx="333">
                  <c:v>42340</c:v>
                </c:pt>
                <c:pt idx="334">
                  <c:v>42339</c:v>
                </c:pt>
                <c:pt idx="335">
                  <c:v>42338</c:v>
                </c:pt>
                <c:pt idx="336">
                  <c:v>42335</c:v>
                </c:pt>
                <c:pt idx="337">
                  <c:v>42333</c:v>
                </c:pt>
                <c:pt idx="338">
                  <c:v>42332</c:v>
                </c:pt>
                <c:pt idx="339">
                  <c:v>42331</c:v>
                </c:pt>
                <c:pt idx="340">
                  <c:v>42328</c:v>
                </c:pt>
                <c:pt idx="341">
                  <c:v>42327</c:v>
                </c:pt>
                <c:pt idx="342">
                  <c:v>42326</c:v>
                </c:pt>
                <c:pt idx="343">
                  <c:v>42325</c:v>
                </c:pt>
                <c:pt idx="344">
                  <c:v>42324</c:v>
                </c:pt>
                <c:pt idx="345">
                  <c:v>42321</c:v>
                </c:pt>
                <c:pt idx="346">
                  <c:v>42320</c:v>
                </c:pt>
                <c:pt idx="347">
                  <c:v>42319</c:v>
                </c:pt>
                <c:pt idx="348">
                  <c:v>42318</c:v>
                </c:pt>
                <c:pt idx="349">
                  <c:v>42317</c:v>
                </c:pt>
                <c:pt idx="350">
                  <c:v>42314</c:v>
                </c:pt>
                <c:pt idx="351">
                  <c:v>42313</c:v>
                </c:pt>
                <c:pt idx="352">
                  <c:v>42312</c:v>
                </c:pt>
                <c:pt idx="353">
                  <c:v>42311</c:v>
                </c:pt>
                <c:pt idx="354">
                  <c:v>42310</c:v>
                </c:pt>
                <c:pt idx="355">
                  <c:v>42307</c:v>
                </c:pt>
                <c:pt idx="356">
                  <c:v>42306</c:v>
                </c:pt>
                <c:pt idx="357">
                  <c:v>42305</c:v>
                </c:pt>
                <c:pt idx="358">
                  <c:v>42304</c:v>
                </c:pt>
                <c:pt idx="359">
                  <c:v>42303</c:v>
                </c:pt>
                <c:pt idx="360">
                  <c:v>42300</c:v>
                </c:pt>
                <c:pt idx="361">
                  <c:v>42299</c:v>
                </c:pt>
                <c:pt idx="362">
                  <c:v>42298</c:v>
                </c:pt>
                <c:pt idx="363">
                  <c:v>42297</c:v>
                </c:pt>
                <c:pt idx="364">
                  <c:v>42296</c:v>
                </c:pt>
                <c:pt idx="365">
                  <c:v>42293</c:v>
                </c:pt>
                <c:pt idx="366">
                  <c:v>42292</c:v>
                </c:pt>
                <c:pt idx="367">
                  <c:v>42291</c:v>
                </c:pt>
                <c:pt idx="368">
                  <c:v>42290</c:v>
                </c:pt>
                <c:pt idx="369">
                  <c:v>42289</c:v>
                </c:pt>
                <c:pt idx="370">
                  <c:v>42286</c:v>
                </c:pt>
                <c:pt idx="371">
                  <c:v>42285</c:v>
                </c:pt>
                <c:pt idx="372">
                  <c:v>42284</c:v>
                </c:pt>
                <c:pt idx="373">
                  <c:v>42283</c:v>
                </c:pt>
                <c:pt idx="374">
                  <c:v>42282</c:v>
                </c:pt>
                <c:pt idx="375">
                  <c:v>42279</c:v>
                </c:pt>
                <c:pt idx="376">
                  <c:v>42278</c:v>
                </c:pt>
                <c:pt idx="377">
                  <c:v>42277</c:v>
                </c:pt>
                <c:pt idx="378">
                  <c:v>42276</c:v>
                </c:pt>
                <c:pt idx="379">
                  <c:v>42275</c:v>
                </c:pt>
                <c:pt idx="380">
                  <c:v>42272</c:v>
                </c:pt>
                <c:pt idx="381">
                  <c:v>42271</c:v>
                </c:pt>
                <c:pt idx="382">
                  <c:v>42270</c:v>
                </c:pt>
                <c:pt idx="383">
                  <c:v>42269</c:v>
                </c:pt>
                <c:pt idx="384">
                  <c:v>42268</c:v>
                </c:pt>
                <c:pt idx="385">
                  <c:v>42265</c:v>
                </c:pt>
                <c:pt idx="386">
                  <c:v>42264</c:v>
                </c:pt>
                <c:pt idx="387">
                  <c:v>42263</c:v>
                </c:pt>
                <c:pt idx="388">
                  <c:v>42262</c:v>
                </c:pt>
                <c:pt idx="389">
                  <c:v>42261</c:v>
                </c:pt>
                <c:pt idx="390">
                  <c:v>42258</c:v>
                </c:pt>
                <c:pt idx="391">
                  <c:v>42257</c:v>
                </c:pt>
                <c:pt idx="392">
                  <c:v>42256</c:v>
                </c:pt>
                <c:pt idx="393">
                  <c:v>42255</c:v>
                </c:pt>
                <c:pt idx="394">
                  <c:v>42251</c:v>
                </c:pt>
                <c:pt idx="395">
                  <c:v>42250</c:v>
                </c:pt>
                <c:pt idx="396">
                  <c:v>42249</c:v>
                </c:pt>
                <c:pt idx="397">
                  <c:v>42248</c:v>
                </c:pt>
                <c:pt idx="398">
                  <c:v>42247</c:v>
                </c:pt>
                <c:pt idx="399">
                  <c:v>42244</c:v>
                </c:pt>
                <c:pt idx="400">
                  <c:v>42243</c:v>
                </c:pt>
                <c:pt idx="401">
                  <c:v>42242</c:v>
                </c:pt>
                <c:pt idx="402">
                  <c:v>42241</c:v>
                </c:pt>
                <c:pt idx="403">
                  <c:v>42240</c:v>
                </c:pt>
                <c:pt idx="404">
                  <c:v>42237</c:v>
                </c:pt>
                <c:pt idx="405">
                  <c:v>42236</c:v>
                </c:pt>
                <c:pt idx="406">
                  <c:v>42235</c:v>
                </c:pt>
                <c:pt idx="407">
                  <c:v>42234</c:v>
                </c:pt>
                <c:pt idx="408">
                  <c:v>42233</c:v>
                </c:pt>
                <c:pt idx="409">
                  <c:v>42230</c:v>
                </c:pt>
                <c:pt idx="410">
                  <c:v>42229</c:v>
                </c:pt>
                <c:pt idx="411">
                  <c:v>42228</c:v>
                </c:pt>
                <c:pt idx="412">
                  <c:v>42227</c:v>
                </c:pt>
                <c:pt idx="413">
                  <c:v>42226</c:v>
                </c:pt>
                <c:pt idx="414">
                  <c:v>42223</c:v>
                </c:pt>
                <c:pt idx="415">
                  <c:v>42222</c:v>
                </c:pt>
                <c:pt idx="416">
                  <c:v>42221</c:v>
                </c:pt>
                <c:pt idx="417">
                  <c:v>42220</c:v>
                </c:pt>
                <c:pt idx="418">
                  <c:v>42219</c:v>
                </c:pt>
                <c:pt idx="419">
                  <c:v>42216</c:v>
                </c:pt>
                <c:pt idx="420">
                  <c:v>42215</c:v>
                </c:pt>
                <c:pt idx="421">
                  <c:v>42214</c:v>
                </c:pt>
                <c:pt idx="422">
                  <c:v>42213</c:v>
                </c:pt>
                <c:pt idx="423">
                  <c:v>42212</c:v>
                </c:pt>
                <c:pt idx="424">
                  <c:v>42209</c:v>
                </c:pt>
                <c:pt idx="425">
                  <c:v>42208</c:v>
                </c:pt>
                <c:pt idx="426">
                  <c:v>42207</c:v>
                </c:pt>
                <c:pt idx="427">
                  <c:v>42206</c:v>
                </c:pt>
                <c:pt idx="428">
                  <c:v>42205</c:v>
                </c:pt>
                <c:pt idx="429">
                  <c:v>42202</c:v>
                </c:pt>
                <c:pt idx="430">
                  <c:v>42201</c:v>
                </c:pt>
                <c:pt idx="431">
                  <c:v>42200</c:v>
                </c:pt>
                <c:pt idx="432">
                  <c:v>42199</c:v>
                </c:pt>
                <c:pt idx="433">
                  <c:v>42198</c:v>
                </c:pt>
                <c:pt idx="434">
                  <c:v>42195</c:v>
                </c:pt>
                <c:pt idx="435">
                  <c:v>42194</c:v>
                </c:pt>
                <c:pt idx="436">
                  <c:v>42193</c:v>
                </c:pt>
                <c:pt idx="437">
                  <c:v>42192</c:v>
                </c:pt>
                <c:pt idx="438">
                  <c:v>42191</c:v>
                </c:pt>
                <c:pt idx="439">
                  <c:v>42187</c:v>
                </c:pt>
                <c:pt idx="440">
                  <c:v>42186</c:v>
                </c:pt>
                <c:pt idx="441">
                  <c:v>42185</c:v>
                </c:pt>
                <c:pt idx="442">
                  <c:v>42184</c:v>
                </c:pt>
                <c:pt idx="443">
                  <c:v>42181</c:v>
                </c:pt>
                <c:pt idx="444">
                  <c:v>42180</c:v>
                </c:pt>
                <c:pt idx="445">
                  <c:v>42179</c:v>
                </c:pt>
                <c:pt idx="446">
                  <c:v>42178</c:v>
                </c:pt>
                <c:pt idx="447">
                  <c:v>42177</c:v>
                </c:pt>
                <c:pt idx="448">
                  <c:v>42174</c:v>
                </c:pt>
                <c:pt idx="449">
                  <c:v>42173</c:v>
                </c:pt>
                <c:pt idx="450">
                  <c:v>42172</c:v>
                </c:pt>
                <c:pt idx="451">
                  <c:v>42171</c:v>
                </c:pt>
                <c:pt idx="452">
                  <c:v>42170</c:v>
                </c:pt>
                <c:pt idx="453">
                  <c:v>42167</c:v>
                </c:pt>
                <c:pt idx="454">
                  <c:v>42166</c:v>
                </c:pt>
                <c:pt idx="455">
                  <c:v>42165</c:v>
                </c:pt>
                <c:pt idx="456">
                  <c:v>42164</c:v>
                </c:pt>
                <c:pt idx="457">
                  <c:v>42163</c:v>
                </c:pt>
                <c:pt idx="458">
                  <c:v>42160</c:v>
                </c:pt>
                <c:pt idx="459">
                  <c:v>42159</c:v>
                </c:pt>
                <c:pt idx="460">
                  <c:v>42158</c:v>
                </c:pt>
                <c:pt idx="461">
                  <c:v>42157</c:v>
                </c:pt>
                <c:pt idx="462">
                  <c:v>42156</c:v>
                </c:pt>
                <c:pt idx="463">
                  <c:v>42153</c:v>
                </c:pt>
                <c:pt idx="464">
                  <c:v>42152</c:v>
                </c:pt>
                <c:pt idx="465">
                  <c:v>42151</c:v>
                </c:pt>
                <c:pt idx="466">
                  <c:v>42150</c:v>
                </c:pt>
                <c:pt idx="467">
                  <c:v>42146</c:v>
                </c:pt>
                <c:pt idx="468">
                  <c:v>42145</c:v>
                </c:pt>
                <c:pt idx="469">
                  <c:v>42144</c:v>
                </c:pt>
                <c:pt idx="470">
                  <c:v>42143</c:v>
                </c:pt>
                <c:pt idx="471">
                  <c:v>42142</c:v>
                </c:pt>
                <c:pt idx="472">
                  <c:v>42139</c:v>
                </c:pt>
                <c:pt idx="473">
                  <c:v>42138</c:v>
                </c:pt>
                <c:pt idx="474">
                  <c:v>42137</c:v>
                </c:pt>
                <c:pt idx="475">
                  <c:v>42136</c:v>
                </c:pt>
                <c:pt idx="476">
                  <c:v>42135</c:v>
                </c:pt>
                <c:pt idx="477">
                  <c:v>42132</c:v>
                </c:pt>
                <c:pt idx="478">
                  <c:v>42131</c:v>
                </c:pt>
                <c:pt idx="479">
                  <c:v>42130</c:v>
                </c:pt>
                <c:pt idx="480">
                  <c:v>42129</c:v>
                </c:pt>
                <c:pt idx="481">
                  <c:v>42128</c:v>
                </c:pt>
                <c:pt idx="482">
                  <c:v>42125</c:v>
                </c:pt>
                <c:pt idx="483">
                  <c:v>42124</c:v>
                </c:pt>
                <c:pt idx="484">
                  <c:v>42123</c:v>
                </c:pt>
                <c:pt idx="485">
                  <c:v>42122</c:v>
                </c:pt>
                <c:pt idx="486">
                  <c:v>42121</c:v>
                </c:pt>
                <c:pt idx="487">
                  <c:v>42118</c:v>
                </c:pt>
                <c:pt idx="488">
                  <c:v>42117</c:v>
                </c:pt>
                <c:pt idx="489">
                  <c:v>42116</c:v>
                </c:pt>
                <c:pt idx="490">
                  <c:v>42115</c:v>
                </c:pt>
                <c:pt idx="491">
                  <c:v>42114</c:v>
                </c:pt>
                <c:pt idx="492">
                  <c:v>42111</c:v>
                </c:pt>
                <c:pt idx="493">
                  <c:v>42110</c:v>
                </c:pt>
                <c:pt idx="494">
                  <c:v>42109</c:v>
                </c:pt>
                <c:pt idx="495">
                  <c:v>42108</c:v>
                </c:pt>
                <c:pt idx="496">
                  <c:v>42107</c:v>
                </c:pt>
                <c:pt idx="497">
                  <c:v>42104</c:v>
                </c:pt>
                <c:pt idx="498">
                  <c:v>42103</c:v>
                </c:pt>
                <c:pt idx="499">
                  <c:v>42102</c:v>
                </c:pt>
                <c:pt idx="500">
                  <c:v>42101</c:v>
                </c:pt>
                <c:pt idx="501">
                  <c:v>42100</c:v>
                </c:pt>
                <c:pt idx="502">
                  <c:v>42096</c:v>
                </c:pt>
                <c:pt idx="503">
                  <c:v>42095</c:v>
                </c:pt>
                <c:pt idx="504">
                  <c:v>42094</c:v>
                </c:pt>
                <c:pt idx="505">
                  <c:v>42093</c:v>
                </c:pt>
                <c:pt idx="506">
                  <c:v>42090</c:v>
                </c:pt>
                <c:pt idx="507">
                  <c:v>42089</c:v>
                </c:pt>
                <c:pt idx="508">
                  <c:v>42088</c:v>
                </c:pt>
                <c:pt idx="509">
                  <c:v>42087</c:v>
                </c:pt>
                <c:pt idx="510">
                  <c:v>42086</c:v>
                </c:pt>
                <c:pt idx="511">
                  <c:v>42083</c:v>
                </c:pt>
                <c:pt idx="512">
                  <c:v>42082</c:v>
                </c:pt>
                <c:pt idx="513">
                  <c:v>42081</c:v>
                </c:pt>
                <c:pt idx="514">
                  <c:v>42080</c:v>
                </c:pt>
                <c:pt idx="515">
                  <c:v>42079</c:v>
                </c:pt>
                <c:pt idx="516">
                  <c:v>42076</c:v>
                </c:pt>
                <c:pt idx="517">
                  <c:v>42075</c:v>
                </c:pt>
                <c:pt idx="518">
                  <c:v>42074</c:v>
                </c:pt>
                <c:pt idx="519">
                  <c:v>42073</c:v>
                </c:pt>
                <c:pt idx="520">
                  <c:v>42072</c:v>
                </c:pt>
                <c:pt idx="521">
                  <c:v>42069</c:v>
                </c:pt>
                <c:pt idx="522">
                  <c:v>42068</c:v>
                </c:pt>
                <c:pt idx="523">
                  <c:v>42067</c:v>
                </c:pt>
                <c:pt idx="524">
                  <c:v>42066</c:v>
                </c:pt>
                <c:pt idx="525">
                  <c:v>42065</c:v>
                </c:pt>
                <c:pt idx="526">
                  <c:v>42062</c:v>
                </c:pt>
                <c:pt idx="527">
                  <c:v>42061</c:v>
                </c:pt>
                <c:pt idx="528">
                  <c:v>42060</c:v>
                </c:pt>
                <c:pt idx="529">
                  <c:v>42059</c:v>
                </c:pt>
                <c:pt idx="530">
                  <c:v>42058</c:v>
                </c:pt>
                <c:pt idx="531">
                  <c:v>42055</c:v>
                </c:pt>
                <c:pt idx="532">
                  <c:v>42054</c:v>
                </c:pt>
                <c:pt idx="533">
                  <c:v>42053</c:v>
                </c:pt>
                <c:pt idx="534">
                  <c:v>42052</c:v>
                </c:pt>
                <c:pt idx="535">
                  <c:v>42048</c:v>
                </c:pt>
                <c:pt idx="536">
                  <c:v>42047</c:v>
                </c:pt>
                <c:pt idx="537">
                  <c:v>42046</c:v>
                </c:pt>
                <c:pt idx="538">
                  <c:v>42045</c:v>
                </c:pt>
                <c:pt idx="539">
                  <c:v>42044</c:v>
                </c:pt>
                <c:pt idx="540">
                  <c:v>42041</c:v>
                </c:pt>
                <c:pt idx="541">
                  <c:v>42040</c:v>
                </c:pt>
                <c:pt idx="542">
                  <c:v>42039</c:v>
                </c:pt>
                <c:pt idx="543">
                  <c:v>42038</c:v>
                </c:pt>
                <c:pt idx="544">
                  <c:v>42037</c:v>
                </c:pt>
                <c:pt idx="545">
                  <c:v>42034</c:v>
                </c:pt>
                <c:pt idx="546">
                  <c:v>42033</c:v>
                </c:pt>
                <c:pt idx="547">
                  <c:v>42032</c:v>
                </c:pt>
                <c:pt idx="548">
                  <c:v>42031</c:v>
                </c:pt>
                <c:pt idx="549">
                  <c:v>42030</c:v>
                </c:pt>
                <c:pt idx="550">
                  <c:v>42027</c:v>
                </c:pt>
                <c:pt idx="551">
                  <c:v>42026</c:v>
                </c:pt>
                <c:pt idx="552">
                  <c:v>42025</c:v>
                </c:pt>
                <c:pt idx="553">
                  <c:v>42024</c:v>
                </c:pt>
                <c:pt idx="554">
                  <c:v>42020</c:v>
                </c:pt>
                <c:pt idx="555">
                  <c:v>42019</c:v>
                </c:pt>
                <c:pt idx="556">
                  <c:v>42018</c:v>
                </c:pt>
                <c:pt idx="557">
                  <c:v>42017</c:v>
                </c:pt>
                <c:pt idx="558">
                  <c:v>42016</c:v>
                </c:pt>
                <c:pt idx="559">
                  <c:v>42013</c:v>
                </c:pt>
                <c:pt idx="560">
                  <c:v>42012</c:v>
                </c:pt>
                <c:pt idx="561">
                  <c:v>42011</c:v>
                </c:pt>
                <c:pt idx="562">
                  <c:v>42010</c:v>
                </c:pt>
                <c:pt idx="563">
                  <c:v>42009</c:v>
                </c:pt>
                <c:pt idx="564">
                  <c:v>42006</c:v>
                </c:pt>
              </c:numCache>
            </c:numRef>
          </c:cat>
          <c:val>
            <c:numRef>
              <c:f>'Graf 3+4'!$O$3:$O$600</c:f>
              <c:numCache>
                <c:formatCode>General</c:formatCode>
                <c:ptCount val="598"/>
                <c:pt idx="0">
                  <c:v>1.1593184193297863</c:v>
                </c:pt>
                <c:pt idx="1">
                  <c:v>1.1593308558311985</c:v>
                </c:pt>
                <c:pt idx="2">
                  <c:v>1.1625236079216075</c:v>
                </c:pt>
                <c:pt idx="3">
                  <c:v>1.152630225578791</c:v>
                </c:pt>
                <c:pt idx="4">
                  <c:v>1.1527611124136841</c:v>
                </c:pt>
                <c:pt idx="5">
                  <c:v>1.1485809722624984</c:v>
                </c:pt>
                <c:pt idx="6">
                  <c:v>1.1399999061603179</c:v>
                </c:pt>
                <c:pt idx="7">
                  <c:v>1.1446652235822921</c:v>
                </c:pt>
                <c:pt idx="8">
                  <c:v>1.1447027592980454</c:v>
                </c:pt>
                <c:pt idx="9">
                  <c:v>1.1498724755154424</c:v>
                </c:pt>
                <c:pt idx="10">
                  <c:v>1.1459783204767042</c:v>
                </c:pt>
                <c:pt idx="11">
                  <c:v>1.1315428685634998</c:v>
                </c:pt>
                <c:pt idx="12">
                  <c:v>1.1292186412086282</c:v>
                </c:pt>
                <c:pt idx="13">
                  <c:v>1.1328867737925616</c:v>
                </c:pt>
                <c:pt idx="14">
                  <c:v>1.1315817368838497</c:v>
                </c:pt>
                <c:pt idx="15">
                  <c:v>1.1244501036229826</c:v>
                </c:pt>
                <c:pt idx="16">
                  <c:v>1.1194396048099771</c:v>
                </c:pt>
                <c:pt idx="17">
                  <c:v>1.1229355678570641</c:v>
                </c:pt>
                <c:pt idx="18">
                  <c:v>1.1225721768028802</c:v>
                </c:pt>
                <c:pt idx="19">
                  <c:v>1.1267995884561377</c:v>
                </c:pt>
                <c:pt idx="20">
                  <c:v>1.1241544424542589</c:v>
                </c:pt>
                <c:pt idx="21">
                  <c:v>1.1302727940561494</c:v>
                </c:pt>
                <c:pt idx="22">
                  <c:v>1.1148324108265402</c:v>
                </c:pt>
                <c:pt idx="23">
                  <c:v>1.1134617934493072</c:v>
                </c:pt>
                <c:pt idx="24">
                  <c:v>1.1085659006435957</c:v>
                </c:pt>
                <c:pt idx="25">
                  <c:v>1.1204145514707662</c:v>
                </c:pt>
                <c:pt idx="26">
                  <c:v>1.1227567778202676</c:v>
                </c:pt>
                <c:pt idx="27">
                  <c:v>1.1198728417408135</c:v>
                </c:pt>
                <c:pt idx="28">
                  <c:v>1.1086842622931017</c:v>
                </c:pt>
                <c:pt idx="29">
                  <c:v>1.1123639057327925</c:v>
                </c:pt>
                <c:pt idx="30">
                  <c:v>1.1089757880714912</c:v>
                </c:pt>
                <c:pt idx="31">
                  <c:v>1.1052949425131136</c:v>
                </c:pt>
                <c:pt idx="32">
                  <c:v>1.1084424501684378</c:v>
                </c:pt>
                <c:pt idx="33">
                  <c:v>1.1028381928902751</c:v>
                </c:pt>
                <c:pt idx="34">
                  <c:v>1.1029301246059688</c:v>
                </c:pt>
                <c:pt idx="35">
                  <c:v>1.0980837490350002</c:v>
                </c:pt>
                <c:pt idx="36">
                  <c:v>1.0981411034282642</c:v>
                </c:pt>
                <c:pt idx="37">
                  <c:v>1.0987198884875302</c:v>
                </c:pt>
                <c:pt idx="38">
                  <c:v>1.1153656941497969</c:v>
                </c:pt>
                <c:pt idx="39">
                  <c:v>1.1137127911348852</c:v>
                </c:pt>
                <c:pt idx="40">
                  <c:v>1.1131726243219147</c:v>
                </c:pt>
                <c:pt idx="41">
                  <c:v>1.105312090370981</c:v>
                </c:pt>
                <c:pt idx="42">
                  <c:v>1.1094562675784756</c:v>
                </c:pt>
                <c:pt idx="43">
                  <c:v>1.1197357737294729</c:v>
                </c:pt>
                <c:pt idx="44">
                  <c:v>1.1230089182114971</c:v>
                </c:pt>
                <c:pt idx="45">
                  <c:v>1.1241689032174325</c:v>
                </c:pt>
                <c:pt idx="46">
                  <c:v>1.1077603284496904</c:v>
                </c:pt>
                <c:pt idx="47">
                  <c:v>1.1006912522159391</c:v>
                </c:pt>
                <c:pt idx="48">
                  <c:v>1.1031106830705619</c:v>
                </c:pt>
                <c:pt idx="49">
                  <c:v>1.0961883899655946</c:v>
                </c:pt>
                <c:pt idx="50">
                  <c:v>1.1011768297573266</c:v>
                </c:pt>
                <c:pt idx="51">
                  <c:v>1.0975335763587921</c:v>
                </c:pt>
                <c:pt idx="52">
                  <c:v>1.0994181768715525</c:v>
                </c:pt>
                <c:pt idx="53">
                  <c:v>1.0911693459554872</c:v>
                </c:pt>
                <c:pt idx="54">
                  <c:v>1.0934816854496221</c:v>
                </c:pt>
                <c:pt idx="55">
                  <c:v>1.0882444373308076</c:v>
                </c:pt>
                <c:pt idx="56">
                  <c:v>1.0875222001249436</c:v>
                </c:pt>
                <c:pt idx="57">
                  <c:v>1.0885568708979911</c:v>
                </c:pt>
                <c:pt idx="58">
                  <c:v>1.0918770777793689</c:v>
                </c:pt>
                <c:pt idx="59">
                  <c:v>1.0797898784981053</c:v>
                </c:pt>
                <c:pt idx="60">
                  <c:v>1.075468148462325</c:v>
                </c:pt>
                <c:pt idx="61">
                  <c:v>1.0779610096977623</c:v>
                </c:pt>
                <c:pt idx="62">
                  <c:v>1.068159585003944</c:v>
                </c:pt>
                <c:pt idx="63">
                  <c:v>1.0617890027609671</c:v>
                </c:pt>
                <c:pt idx="64">
                  <c:v>1.0684369428258043</c:v>
                </c:pt>
                <c:pt idx="65">
                  <c:v>1.0657212228453985</c:v>
                </c:pt>
                <c:pt idx="66">
                  <c:v>1.0656855002575512</c:v>
                </c:pt>
                <c:pt idx="67">
                  <c:v>1.065341920264693</c:v>
                </c:pt>
                <c:pt idx="68">
                  <c:v>1.0622118519398476</c:v>
                </c:pt>
                <c:pt idx="69">
                  <c:v>1.0633019080992439</c:v>
                </c:pt>
                <c:pt idx="70">
                  <c:v>1.0615040614006572</c:v>
                </c:pt>
                <c:pt idx="71">
                  <c:v>1.0550156400320998</c:v>
                </c:pt>
                <c:pt idx="72">
                  <c:v>1.0671631688029688</c:v>
                </c:pt>
                <c:pt idx="73">
                  <c:v>1.0677833903600735</c:v>
                </c:pt>
                <c:pt idx="74">
                  <c:v>1.0610495185677733</c:v>
                </c:pt>
                <c:pt idx="75">
                  <c:v>1.0525815104483867</c:v>
                </c:pt>
                <c:pt idx="76">
                  <c:v>1.0569339241663274</c:v>
                </c:pt>
                <c:pt idx="77">
                  <c:v>1.0521774074434349</c:v>
                </c:pt>
                <c:pt idx="78">
                  <c:v>1.0295153709648801</c:v>
                </c:pt>
                <c:pt idx="79">
                  <c:v>1.0261977955894892</c:v>
                </c:pt>
                <c:pt idx="80">
                  <c:v>1.0011282221955122</c:v>
                </c:pt>
                <c:pt idx="81">
                  <c:v>0.99839666205337663</c:v>
                </c:pt>
                <c:pt idx="82">
                  <c:v>1.0059537161901404</c:v>
                </c:pt>
                <c:pt idx="83">
                  <c:v>1.0067282070725909</c:v>
                </c:pt>
                <c:pt idx="84">
                  <c:v>0.99917235072570598</c:v>
                </c:pt>
                <c:pt idx="85">
                  <c:v>1.0108172397150534</c:v>
                </c:pt>
                <c:pt idx="86">
                  <c:v>1.0039413047951298</c:v>
                </c:pt>
                <c:pt idx="87">
                  <c:v>1.0151089806877329</c:v>
                </c:pt>
                <c:pt idx="88">
                  <c:v>1.010624904535633</c:v>
                </c:pt>
                <c:pt idx="89">
                  <c:v>1.0068031250545317</c:v>
                </c:pt>
                <c:pt idx="90">
                  <c:v>1.0134583556460126</c:v>
                </c:pt>
                <c:pt idx="91">
                  <c:v>1.0170472403655446</c:v>
                </c:pt>
                <c:pt idx="92">
                  <c:v>1.0271105665756455</c:v>
                </c:pt>
                <c:pt idx="93">
                  <c:v>1.0247288024380157</c:v>
                </c:pt>
                <c:pt idx="94">
                  <c:v>1.0325616021429678</c:v>
                </c:pt>
                <c:pt idx="95">
                  <c:v>1.0318593559018523</c:v>
                </c:pt>
                <c:pt idx="96">
                  <c:v>1.037733321034823</c:v>
                </c:pt>
                <c:pt idx="97">
                  <c:v>1.029856984840789</c:v>
                </c:pt>
                <c:pt idx="98">
                  <c:v>1.0292463320789675</c:v>
                </c:pt>
                <c:pt idx="99">
                  <c:v>1.0165666030478886</c:v>
                </c:pt>
                <c:pt idx="100">
                  <c:v>1.0228521372719714</c:v>
                </c:pt>
                <c:pt idx="101">
                  <c:v>1.0260299075813295</c:v>
                </c:pt>
                <c:pt idx="102">
                  <c:v>1.0368559706842753</c:v>
                </c:pt>
                <c:pt idx="103">
                  <c:v>1.0415025073501489</c:v>
                </c:pt>
                <c:pt idx="104">
                  <c:v>1.0423213777205187</c:v>
                </c:pt>
                <c:pt idx="105">
                  <c:v>1.0398722555437612</c:v>
                </c:pt>
                <c:pt idx="106">
                  <c:v>1.0410153660976116</c:v>
                </c:pt>
                <c:pt idx="107">
                  <c:v>1.0435233822372201</c:v>
                </c:pt>
                <c:pt idx="108">
                  <c:v>1.0426874682217568</c:v>
                </c:pt>
                <c:pt idx="109">
                  <c:v>1.0376086410209928</c:v>
                </c:pt>
                <c:pt idx="110">
                  <c:v>1.043228423235365</c:v>
                </c:pt>
                <c:pt idx="111">
                  <c:v>1.0401033013740353</c:v>
                </c:pt>
                <c:pt idx="112">
                  <c:v>1.0407787302110423</c:v>
                </c:pt>
                <c:pt idx="113">
                  <c:v>1.0296064420983613</c:v>
                </c:pt>
                <c:pt idx="114">
                  <c:v>1.0363243241804394</c:v>
                </c:pt>
                <c:pt idx="115">
                  <c:v>1.0244958063622986</c:v>
                </c:pt>
                <c:pt idx="116">
                  <c:v>1.0339567717873526</c:v>
                </c:pt>
                <c:pt idx="117">
                  <c:v>1.0425759423479182</c:v>
                </c:pt>
                <c:pt idx="118">
                  <c:v>1.0536926736032042</c:v>
                </c:pt>
                <c:pt idx="119">
                  <c:v>1.0431703135086261</c:v>
                </c:pt>
                <c:pt idx="120">
                  <c:v>1.049922239369768</c:v>
                </c:pt>
                <c:pt idx="121">
                  <c:v>1.0555355863812821</c:v>
                </c:pt>
                <c:pt idx="122">
                  <c:v>1.0576526223932765</c:v>
                </c:pt>
                <c:pt idx="123">
                  <c:v>1.0503809097477816</c:v>
                </c:pt>
                <c:pt idx="124">
                  <c:v>1.0503809097477816</c:v>
                </c:pt>
                <c:pt idx="125">
                  <c:v>1.0397940212951338</c:v>
                </c:pt>
                <c:pt idx="126">
                  <c:v>1.0416911925943628</c:v>
                </c:pt>
                <c:pt idx="127">
                  <c:v>1.0351713511389602</c:v>
                </c:pt>
                <c:pt idx="128">
                  <c:v>1.0412842636182695</c:v>
                </c:pt>
                <c:pt idx="129">
                  <c:v>1.0614054353896432</c:v>
                </c:pt>
                <c:pt idx="130">
                  <c:v>1.0654735769262134</c:v>
                </c:pt>
                <c:pt idx="131">
                  <c:v>1.0363745568263636</c:v>
                </c:pt>
                <c:pt idx="132">
                  <c:v>1.0328127060734991</c:v>
                </c:pt>
                <c:pt idx="133">
                  <c:v>1.0319614290812957</c:v>
                </c:pt>
                <c:pt idx="134">
                  <c:v>1.0211879095925762</c:v>
                </c:pt>
                <c:pt idx="135">
                  <c:v>1.0429728598482875</c:v>
                </c:pt>
                <c:pt idx="136">
                  <c:v>1.0389571017031374</c:v>
                </c:pt>
                <c:pt idx="137">
                  <c:v>1.0380566963842326</c:v>
                </c:pt>
                <c:pt idx="138">
                  <c:v>1.042475345642746</c:v>
                </c:pt>
                <c:pt idx="139">
                  <c:v>1.0540266932237152</c:v>
                </c:pt>
                <c:pt idx="140">
                  <c:v>1.0662097804963171</c:v>
                </c:pt>
                <c:pt idx="141">
                  <c:v>1.0722857486375492</c:v>
                </c:pt>
                <c:pt idx="142">
                  <c:v>1.0669305696922753</c:v>
                </c:pt>
                <c:pt idx="143">
                  <c:v>1.0596303411942589</c:v>
                </c:pt>
                <c:pt idx="144">
                  <c:v>1.048607517843994</c:v>
                </c:pt>
                <c:pt idx="145">
                  <c:v>1.0505538322050292</c:v>
                </c:pt>
                <c:pt idx="146">
                  <c:v>1.0560240579799114</c:v>
                </c:pt>
                <c:pt idx="147">
                  <c:v>1.0475495675154458</c:v>
                </c:pt>
                <c:pt idx="148">
                  <c:v>1.0568718964462027</c:v>
                </c:pt>
                <c:pt idx="149">
                  <c:v>1.0551803443736114</c:v>
                </c:pt>
                <c:pt idx="150">
                  <c:v>1.0631790874519584</c:v>
                </c:pt>
                <c:pt idx="151">
                  <c:v>1.0646801999551814</c:v>
                </c:pt>
                <c:pt idx="152">
                  <c:v>1.0554696494847673</c:v>
                </c:pt>
                <c:pt idx="153">
                  <c:v>1.0602125395580897</c:v>
                </c:pt>
                <c:pt idx="154">
                  <c:v>1.066623584617874</c:v>
                </c:pt>
                <c:pt idx="155">
                  <c:v>1.0553333498981217</c:v>
                </c:pt>
                <c:pt idx="156">
                  <c:v>1.06800025015849</c:v>
                </c:pt>
                <c:pt idx="157">
                  <c:v>1.0660905538202394</c:v>
                </c:pt>
                <c:pt idx="158">
                  <c:v>1.0624276047681671</c:v>
                </c:pt>
                <c:pt idx="159">
                  <c:v>1.0642714920505143</c:v>
                </c:pt>
                <c:pt idx="160">
                  <c:v>1.0564512957335186</c:v>
                </c:pt>
                <c:pt idx="161">
                  <c:v>1.0546385786936168</c:v>
                </c:pt>
                <c:pt idx="162">
                  <c:v>1.027258535584374</c:v>
                </c:pt>
                <c:pt idx="163">
                  <c:v>1.0219725589373629</c:v>
                </c:pt>
                <c:pt idx="164">
                  <c:v>1.0128983456490053</c:v>
                </c:pt>
                <c:pt idx="165">
                  <c:v>1.0104698185246308</c:v>
                </c:pt>
                <c:pt idx="166">
                  <c:v>1.0122967850157405</c:v>
                </c:pt>
                <c:pt idx="167">
                  <c:v>1.0257480636455405</c:v>
                </c:pt>
                <c:pt idx="168">
                  <c:v>1.0251693501771468</c:v>
                </c:pt>
                <c:pt idx="169">
                  <c:v>1.0117220968034557</c:v>
                </c:pt>
                <c:pt idx="170">
                  <c:v>1.0083457789849462</c:v>
                </c:pt>
                <c:pt idx="171">
                  <c:v>1.0010654038392839</c:v>
                </c:pt>
                <c:pt idx="172">
                  <c:v>0.99611825194044101</c:v>
                </c:pt>
                <c:pt idx="173">
                  <c:v>0.98928123793411959</c:v>
                </c:pt>
                <c:pt idx="174">
                  <c:v>0.99386413524791961</c:v>
                </c:pt>
                <c:pt idx="175">
                  <c:v>0.99228202525199172</c:v>
                </c:pt>
                <c:pt idx="176">
                  <c:v>0.97691290259300589</c:v>
                </c:pt>
                <c:pt idx="177">
                  <c:v>0.99015718429435395</c:v>
                </c:pt>
                <c:pt idx="178">
                  <c:v>0.98971843809157622</c:v>
                </c:pt>
                <c:pt idx="179">
                  <c:v>0.99444601207809047</c:v>
                </c:pt>
                <c:pt idx="180">
                  <c:v>0.98022596996923284</c:v>
                </c:pt>
                <c:pt idx="181">
                  <c:v>0.98204652939377879</c:v>
                </c:pt>
                <c:pt idx="182">
                  <c:v>0.96518382246014744</c:v>
                </c:pt>
                <c:pt idx="183">
                  <c:v>0.9442099765125116</c:v>
                </c:pt>
                <c:pt idx="184">
                  <c:v>0.92265233943255232</c:v>
                </c:pt>
                <c:pt idx="185">
                  <c:v>0.92006135233231667</c:v>
                </c:pt>
                <c:pt idx="186">
                  <c:v>0.93686638087007346</c:v>
                </c:pt>
                <c:pt idx="187">
                  <c:v>0.96589005958086327</c:v>
                </c:pt>
                <c:pt idx="188">
                  <c:v>0.95013250598663102</c:v>
                </c:pt>
                <c:pt idx="189">
                  <c:v>0.94534546045163848</c:v>
                </c:pt>
                <c:pt idx="190">
                  <c:v>0.92373885870339234</c:v>
                </c:pt>
                <c:pt idx="191">
                  <c:v>0.90308232127289201</c:v>
                </c:pt>
                <c:pt idx="192">
                  <c:v>0.94438644123333604</c:v>
                </c:pt>
                <c:pt idx="193">
                  <c:v>1.0279671724809889</c:v>
                </c:pt>
                <c:pt idx="194">
                  <c:v>1.0049960294866369</c:v>
                </c:pt>
                <c:pt idx="195">
                  <c:v>0.99552304293307303</c:v>
                </c:pt>
                <c:pt idx="196">
                  <c:v>0.99512635911092651</c:v>
                </c:pt>
                <c:pt idx="197">
                  <c:v>0.95638835647704035</c:v>
                </c:pt>
                <c:pt idx="198">
                  <c:v>0.94251940778724608</c:v>
                </c:pt>
                <c:pt idx="199">
                  <c:v>0.95111602250379912</c:v>
                </c:pt>
                <c:pt idx="200">
                  <c:v>0.93967299715750685</c:v>
                </c:pt>
                <c:pt idx="201">
                  <c:v>0.96018940066614311</c:v>
                </c:pt>
                <c:pt idx="202">
                  <c:v>0.97768289207168557</c:v>
                </c:pt>
                <c:pt idx="203">
                  <c:v>1.0064148745640655</c:v>
                </c:pt>
                <c:pt idx="204">
                  <c:v>1.0258887772307572</c:v>
                </c:pt>
                <c:pt idx="205">
                  <c:v>1.0283807390911459</c:v>
                </c:pt>
                <c:pt idx="206">
                  <c:v>1.0145108163158643</c:v>
                </c:pt>
                <c:pt idx="207">
                  <c:v>1.0081476942878798</c:v>
                </c:pt>
                <c:pt idx="208">
                  <c:v>1.0033262160653846</c:v>
                </c:pt>
                <c:pt idx="209">
                  <c:v>1.0045888351015773</c:v>
                </c:pt>
                <c:pt idx="210">
                  <c:v>1.0071452961725393</c:v>
                </c:pt>
                <c:pt idx="211">
                  <c:v>1.0092574565626702</c:v>
                </c:pt>
                <c:pt idx="212">
                  <c:v>1.0114278385915263</c:v>
                </c:pt>
                <c:pt idx="213">
                  <c:v>1.0032800601830063</c:v>
                </c:pt>
                <c:pt idx="214">
                  <c:v>0.98766416716475347</c:v>
                </c:pt>
                <c:pt idx="215">
                  <c:v>0.97137812196657913</c:v>
                </c:pt>
                <c:pt idx="216">
                  <c:v>0.97907907154557572</c:v>
                </c:pt>
                <c:pt idx="217">
                  <c:v>0.9663641962465257</c:v>
                </c:pt>
                <c:pt idx="218">
                  <c:v>0.98755756826895102</c:v>
                </c:pt>
                <c:pt idx="219">
                  <c:v>0.98671933971401904</c:v>
                </c:pt>
                <c:pt idx="220">
                  <c:v>0.98967659303617195</c:v>
                </c:pt>
                <c:pt idx="221">
                  <c:v>0.98967659303617195</c:v>
                </c:pt>
                <c:pt idx="222">
                  <c:v>0.98862612375780134</c:v>
                </c:pt>
                <c:pt idx="223">
                  <c:v>1.003952280109849</c:v>
                </c:pt>
                <c:pt idx="224">
                  <c:v>1.0065703361068987</c:v>
                </c:pt>
                <c:pt idx="225">
                  <c:v>1.0008578594477018</c:v>
                </c:pt>
                <c:pt idx="226">
                  <c:v>0.99266746342114809</c:v>
                </c:pt>
                <c:pt idx="227">
                  <c:v>0.98969003394288091</c:v>
                </c:pt>
                <c:pt idx="228">
                  <c:v>0.9946987329614716</c:v>
                </c:pt>
                <c:pt idx="229">
                  <c:v>1.0072001207158028</c:v>
                </c:pt>
                <c:pt idx="230">
                  <c:v>1.0263555725359836</c:v>
                </c:pt>
                <c:pt idx="231">
                  <c:v>1.0105540004844284</c:v>
                </c:pt>
                <c:pt idx="232">
                  <c:v>1.0290571367995618</c:v>
                </c:pt>
                <c:pt idx="233">
                  <c:v>1.0258367886036686</c:v>
                </c:pt>
                <c:pt idx="234">
                  <c:v>1.0193370038004681</c:v>
                </c:pt>
                <c:pt idx="235">
                  <c:v>1.0201481654567353</c:v>
                </c:pt>
                <c:pt idx="236">
                  <c:v>1.0239751004103947</c:v>
                </c:pt>
                <c:pt idx="237">
                  <c:v>1.0365379984907799</c:v>
                </c:pt>
                <c:pt idx="238">
                  <c:v>1.0377161347151498</c:v>
                </c:pt>
                <c:pt idx="239">
                  <c:v>1.0351254591354633</c:v>
                </c:pt>
                <c:pt idx="240">
                  <c:v>1.0078646626328016</c:v>
                </c:pt>
                <c:pt idx="241">
                  <c:v>0.99861985741290438</c:v>
                </c:pt>
                <c:pt idx="242">
                  <c:v>0.99987160830710042</c:v>
                </c:pt>
                <c:pt idx="243">
                  <c:v>0.99509639180458564</c:v>
                </c:pt>
                <c:pt idx="244">
                  <c:v>0.97602233643939429</c:v>
                </c:pt>
                <c:pt idx="245">
                  <c:v>0.97127368223792621</c:v>
                </c:pt>
                <c:pt idx="246">
                  <c:v>0.96434469481420027</c:v>
                </c:pt>
                <c:pt idx="247">
                  <c:v>0.95197817144768182</c:v>
                </c:pt>
                <c:pt idx="248">
                  <c:v>0.96511666452646061</c:v>
                </c:pt>
                <c:pt idx="249">
                  <c:v>0.95704461762722559</c:v>
                </c:pt>
                <c:pt idx="250">
                  <c:v>0.98329979606627216</c:v>
                </c:pt>
                <c:pt idx="251">
                  <c:v>0.98023413949537863</c:v>
                </c:pt>
                <c:pt idx="252">
                  <c:v>0.99643033709233686</c:v>
                </c:pt>
                <c:pt idx="253">
                  <c:v>0.99906947163194149</c:v>
                </c:pt>
                <c:pt idx="254">
                  <c:v>0.9781521282549237</c:v>
                </c:pt>
                <c:pt idx="255">
                  <c:v>0.96734920190425733</c:v>
                </c:pt>
                <c:pt idx="256">
                  <c:v>0.96734920190425733</c:v>
                </c:pt>
                <c:pt idx="257">
                  <c:v>0.98429219139722646</c:v>
                </c:pt>
                <c:pt idx="258">
                  <c:v>0.9843041844971796</c:v>
                </c:pt>
                <c:pt idx="259">
                  <c:v>0.98264625514350623</c:v>
                </c:pt>
                <c:pt idx="260">
                  <c:v>0.98516882499470992</c:v>
                </c:pt>
                <c:pt idx="261">
                  <c:v>0.98306676922139125</c:v>
                </c:pt>
                <c:pt idx="262">
                  <c:v>0.97119299701620077</c:v>
                </c:pt>
                <c:pt idx="263">
                  <c:v>0.96873653683381677</c:v>
                </c:pt>
                <c:pt idx="264">
                  <c:v>0.97205078438424652</c:v>
                </c:pt>
                <c:pt idx="265">
                  <c:v>0.96233176040559143</c:v>
                </c:pt>
                <c:pt idx="266">
                  <c:v>0.93078814592446868</c:v>
                </c:pt>
                <c:pt idx="267">
                  <c:v>0.93930825818804364</c:v>
                </c:pt>
                <c:pt idx="268">
                  <c:v>0.93527501867880525</c:v>
                </c:pt>
                <c:pt idx="269">
                  <c:v>0.94426049603939344</c:v>
                </c:pt>
                <c:pt idx="270">
                  <c:v>0.94678383001610555</c:v>
                </c:pt>
                <c:pt idx="271">
                  <c:v>0.93458924283846279</c:v>
                </c:pt>
                <c:pt idx="272">
                  <c:v>0.9285682877693382</c:v>
                </c:pt>
                <c:pt idx="273">
                  <c:v>0.92291252831581327</c:v>
                </c:pt>
                <c:pt idx="274">
                  <c:v>0.90115781336606804</c:v>
                </c:pt>
                <c:pt idx="275">
                  <c:v>0.90760737690539517</c:v>
                </c:pt>
                <c:pt idx="276">
                  <c:v>0.8988338705257144</c:v>
                </c:pt>
                <c:pt idx="277">
                  <c:v>0.87941038192311316</c:v>
                </c:pt>
                <c:pt idx="278">
                  <c:v>0.90558434581135794</c:v>
                </c:pt>
                <c:pt idx="279">
                  <c:v>0.92258920925444632</c:v>
                </c:pt>
                <c:pt idx="280">
                  <c:v>0.91208053163895642</c:v>
                </c:pt>
                <c:pt idx="281">
                  <c:v>0.91881842959373827</c:v>
                </c:pt>
                <c:pt idx="282">
                  <c:v>0.91231803568031422</c:v>
                </c:pt>
                <c:pt idx="283">
                  <c:v>0.88507857237169918</c:v>
                </c:pt>
                <c:pt idx="284">
                  <c:v>0.876262296592768</c:v>
                </c:pt>
                <c:pt idx="285">
                  <c:v>0.85933584616871528</c:v>
                </c:pt>
                <c:pt idx="286">
                  <c:v>0.87992868914133004</c:v>
                </c:pt>
                <c:pt idx="287">
                  <c:v>0.87176168725286884</c:v>
                </c:pt>
                <c:pt idx="288">
                  <c:v>0.86996287128820859</c:v>
                </c:pt>
                <c:pt idx="289">
                  <c:v>0.90075157777867609</c:v>
                </c:pt>
                <c:pt idx="290">
                  <c:v>0.91727731216849229</c:v>
                </c:pt>
                <c:pt idx="291">
                  <c:v>0.90988562627069558</c:v>
                </c:pt>
                <c:pt idx="292">
                  <c:v>0.91106639932566136</c:v>
                </c:pt>
                <c:pt idx="293">
                  <c:v>0.92747622924101014</c:v>
                </c:pt>
                <c:pt idx="294">
                  <c:v>0.92717352758071159</c:v>
                </c:pt>
                <c:pt idx="295">
                  <c:v>0.92020136954978149</c:v>
                </c:pt>
                <c:pt idx="296">
                  <c:v>0.93806481372256556</c:v>
                </c:pt>
                <c:pt idx="297">
                  <c:v>0.92955565806430673</c:v>
                </c:pt>
                <c:pt idx="298">
                  <c:v>0.91945007803601464</c:v>
                </c:pt>
                <c:pt idx="299">
                  <c:v>0.9207324373353547</c:v>
                </c:pt>
                <c:pt idx="300">
                  <c:v>0.90372785041527903</c:v>
                </c:pt>
                <c:pt idx="301">
                  <c:v>0.89166649399310316</c:v>
                </c:pt>
                <c:pt idx="302">
                  <c:v>0.92031522671151555</c:v>
                </c:pt>
                <c:pt idx="303">
                  <c:v>0.90998099394027077</c:v>
                </c:pt>
                <c:pt idx="304">
                  <c:v>0.92732120568286636</c:v>
                </c:pt>
                <c:pt idx="305">
                  <c:v>0.9430656887928337</c:v>
                </c:pt>
                <c:pt idx="306">
                  <c:v>0.94450386507966222</c:v>
                </c:pt>
                <c:pt idx="307">
                  <c:v>0.93210535626219682</c:v>
                </c:pt>
                <c:pt idx="308">
                  <c:v>0.93521075820433475</c:v>
                </c:pt>
                <c:pt idx="309">
                  <c:v>0.94592572342197023</c:v>
                </c:pt>
                <c:pt idx="310">
                  <c:v>0.95913127729355474</c:v>
                </c:pt>
                <c:pt idx="311">
                  <c:v>0.96762058604447887</c:v>
                </c:pt>
                <c:pt idx="312">
                  <c:v>0.97170097675345701</c:v>
                </c:pt>
                <c:pt idx="313">
                  <c:v>1.0226383155278813</c:v>
                </c:pt>
                <c:pt idx="314">
                  <c:v>1.0226383155278813</c:v>
                </c:pt>
                <c:pt idx="315">
                  <c:v>1.0353238643166875</c:v>
                </c:pt>
                <c:pt idx="316">
                  <c:v>1.0199605370947635</c:v>
                </c:pt>
                <c:pt idx="317">
                  <c:v>1.0183459041738327</c:v>
                </c:pt>
                <c:pt idx="318">
                  <c:v>1.0183459041738327</c:v>
                </c:pt>
                <c:pt idx="319">
                  <c:v>1.0038671656734142</c:v>
                </c:pt>
                <c:pt idx="320">
                  <c:v>0.99932410540695749</c:v>
                </c:pt>
                <c:pt idx="321">
                  <c:v>1.0028844323307071</c:v>
                </c:pt>
                <c:pt idx="322">
                  <c:v>1.0133406772699738</c:v>
                </c:pt>
                <c:pt idx="323">
                  <c:v>0.99770439663595356</c:v>
                </c:pt>
                <c:pt idx="324">
                  <c:v>0.99571436072232533</c:v>
                </c:pt>
                <c:pt idx="325">
                  <c:v>0.9735526988792742</c:v>
                </c:pt>
                <c:pt idx="326">
                  <c:v>0.99109149895837323</c:v>
                </c:pt>
                <c:pt idx="327">
                  <c:v>1.0113271239055615</c:v>
                </c:pt>
                <c:pt idx="328">
                  <c:v>1.0158118122135091</c:v>
                </c:pt>
                <c:pt idx="329">
                  <c:v>1.0130211528433595</c:v>
                </c:pt>
                <c:pt idx="330">
                  <c:v>1.0291069554165229</c:v>
                </c:pt>
                <c:pt idx="331">
                  <c:v>1.0183219057436368</c:v>
                </c:pt>
                <c:pt idx="332">
                  <c:v>1.0247808289370313</c:v>
                </c:pt>
                <c:pt idx="333">
                  <c:v>1.0317211833970852</c:v>
                </c:pt>
                <c:pt idx="334">
                  <c:v>1.0409472462628195</c:v>
                </c:pt>
                <c:pt idx="335">
                  <c:v>1.0463303338486263</c:v>
                </c:pt>
                <c:pt idx="336">
                  <c:v>1.0422998871969362</c:v>
                </c:pt>
                <c:pt idx="337">
                  <c:v>1.0333677864045816</c:v>
                </c:pt>
                <c:pt idx="338">
                  <c:v>1.0141276085273034</c:v>
                </c:pt>
                <c:pt idx="339">
                  <c:v>1.0258944145136732</c:v>
                </c:pt>
                <c:pt idx="340">
                  <c:v>1.0311792480324629</c:v>
                </c:pt>
                <c:pt idx="341">
                  <c:v>1.035184579832483</c:v>
                </c:pt>
                <c:pt idx="342">
                  <c:v>1.0155594366309284</c:v>
                </c:pt>
                <c:pt idx="343">
                  <c:v>1.0172270629396012</c:v>
                </c:pt>
                <c:pt idx="344">
                  <c:v>0.99766321739069186</c:v>
                </c:pt>
                <c:pt idx="345">
                  <c:v>1.0001969132003321</c:v>
                </c:pt>
                <c:pt idx="346">
                  <c:v>1.0119642052213687</c:v>
                </c:pt>
                <c:pt idx="347">
                  <c:v>1.0188390860030205</c:v>
                </c:pt>
                <c:pt idx="348">
                  <c:v>1.0096255869288537</c:v>
                </c:pt>
                <c:pt idx="349">
                  <c:v>1.0128890417419956</c:v>
                </c:pt>
                <c:pt idx="350">
                  <c:v>1.0267617682437038</c:v>
                </c:pt>
                <c:pt idx="351">
                  <c:v>1.0294399524693461</c:v>
                </c:pt>
                <c:pt idx="352">
                  <c:v>1.0246888997575518</c:v>
                </c:pt>
                <c:pt idx="353">
                  <c:v>1.0436678156162871</c:v>
                </c:pt>
                <c:pt idx="354">
                  <c:v>1.0492498106951209</c:v>
                </c:pt>
                <c:pt idx="355">
                  <c:v>1.0397096621361444</c:v>
                </c:pt>
                <c:pt idx="356">
                  <c:v>1.0304736803602927</c:v>
                </c:pt>
                <c:pt idx="357">
                  <c:v>1.0421779809264815</c:v>
                </c:pt>
                <c:pt idx="358">
                  <c:v>1.0266277961185977</c:v>
                </c:pt>
                <c:pt idx="359">
                  <c:v>1.0381657823302373</c:v>
                </c:pt>
                <c:pt idx="360">
                  <c:v>1.0340841519288717</c:v>
                </c:pt>
                <c:pt idx="361">
                  <c:v>1.0164238799514149</c:v>
                </c:pt>
                <c:pt idx="362">
                  <c:v>1.01050463193</c:v>
                </c:pt>
                <c:pt idx="363">
                  <c:v>1.0021274786591841</c:v>
                </c:pt>
                <c:pt idx="364">
                  <c:v>1.001118211331244</c:v>
                </c:pt>
                <c:pt idx="365">
                  <c:v>1.0004069090983596</c:v>
                </c:pt>
                <c:pt idx="366">
                  <c:v>0.99823057489819167</c:v>
                </c:pt>
                <c:pt idx="367">
                  <c:v>0.98711137247621128</c:v>
                </c:pt>
                <c:pt idx="368">
                  <c:v>0.99399767921371729</c:v>
                </c:pt>
                <c:pt idx="369">
                  <c:v>1.001637245052013</c:v>
                </c:pt>
                <c:pt idx="370">
                  <c:v>0.99942449969991687</c:v>
                </c:pt>
                <c:pt idx="371">
                  <c:v>0.98028799548705647</c:v>
                </c:pt>
                <c:pt idx="372">
                  <c:v>0.97453756074564479</c:v>
                </c:pt>
                <c:pt idx="373">
                  <c:v>0.96950206961204999</c:v>
                </c:pt>
                <c:pt idx="374">
                  <c:v>0.95367739055912515</c:v>
                </c:pt>
                <c:pt idx="375">
                  <c:v>0.93130739280414243</c:v>
                </c:pt>
                <c:pt idx="376">
                  <c:v>0.92257167137654816</c:v>
                </c:pt>
                <c:pt idx="377">
                  <c:v>0.9369897235749638</c:v>
                </c:pt>
                <c:pt idx="378">
                  <c:v>0.92193548878827247</c:v>
                </c:pt>
                <c:pt idx="379">
                  <c:v>0.9233914798818581</c:v>
                </c:pt>
                <c:pt idx="380">
                  <c:v>0.93999818770751564</c:v>
                </c:pt>
                <c:pt idx="381">
                  <c:v>0.91862549572934871</c:v>
                </c:pt>
                <c:pt idx="382">
                  <c:v>0.93075952239034332</c:v>
                </c:pt>
                <c:pt idx="383">
                  <c:v>0.9218608017900447</c:v>
                </c:pt>
                <c:pt idx="384">
                  <c:v>0.96747708124340415</c:v>
                </c:pt>
                <c:pt idx="385">
                  <c:v>0.97780695674997431</c:v>
                </c:pt>
                <c:pt idx="386">
                  <c:v>1.0030430559336785</c:v>
                </c:pt>
                <c:pt idx="387">
                  <c:v>1.0032535375312785</c:v>
                </c:pt>
                <c:pt idx="388">
                  <c:v>0.99710450329767153</c:v>
                </c:pt>
                <c:pt idx="389">
                  <c:v>0.99473705443535954</c:v>
                </c:pt>
                <c:pt idx="390">
                  <c:v>0.99622258295827626</c:v>
                </c:pt>
                <c:pt idx="391">
                  <c:v>0.99751307908028886</c:v>
                </c:pt>
                <c:pt idx="392">
                  <c:v>0.99736201216503595</c:v>
                </c:pt>
                <c:pt idx="393">
                  <c:v>0.99642250052716586</c:v>
                </c:pt>
                <c:pt idx="394">
                  <c:v>0.96950608236079416</c:v>
                </c:pt>
                <c:pt idx="395">
                  <c:v>0.99426129161127963</c:v>
                </c:pt>
                <c:pt idx="396">
                  <c:v>0.97819619747680275</c:v>
                </c:pt>
                <c:pt idx="397">
                  <c:v>0.97815769297206545</c:v>
                </c:pt>
                <c:pt idx="398">
                  <c:v>0.99609201566081618</c:v>
                </c:pt>
                <c:pt idx="399">
                  <c:v>0.99810430677046202</c:v>
                </c:pt>
                <c:pt idx="400">
                  <c:v>1.0043813163229602</c:v>
                </c:pt>
                <c:pt idx="401">
                  <c:v>0.98605802432037892</c:v>
                </c:pt>
                <c:pt idx="402">
                  <c:v>1.0022454405484522</c:v>
                </c:pt>
                <c:pt idx="403">
                  <c:v>0.9621798114800999</c:v>
                </c:pt>
                <c:pt idx="404">
                  <c:v>0.99519630127666625</c:v>
                </c:pt>
                <c:pt idx="405">
                  <c:v>1.0101233397608023</c:v>
                </c:pt>
                <c:pt idx="406">
                  <c:v>1.0215121193029515</c:v>
                </c:pt>
                <c:pt idx="407">
                  <c:v>1.0405323575523417</c:v>
                </c:pt>
                <c:pt idx="408">
                  <c:v>1.0470864195337501</c:v>
                </c:pt>
                <c:pt idx="409">
                  <c:v>1.0565300353063183</c:v>
                </c:pt>
                <c:pt idx="410">
                  <c:v>1.0592074054766378</c:v>
                </c:pt>
                <c:pt idx="411">
                  <c:v>1.054215359141867</c:v>
                </c:pt>
                <c:pt idx="412">
                  <c:v>1.0731973837705233</c:v>
                </c:pt>
                <c:pt idx="413">
                  <c:v>1.1005375034619922</c:v>
                </c:pt>
                <c:pt idx="414">
                  <c:v>1.0845387137471691</c:v>
                </c:pt>
                <c:pt idx="415">
                  <c:v>1.0895890453760244</c:v>
                </c:pt>
                <c:pt idx="416">
                  <c:v>1.0892276411529545</c:v>
                </c:pt>
                <c:pt idx="417">
                  <c:v>1.0817421004628613</c:v>
                </c:pt>
                <c:pt idx="418">
                  <c:v>1.0805715232371984</c:v>
                </c:pt>
                <c:pt idx="419">
                  <c:v>1.0725206536673744</c:v>
                </c:pt>
                <c:pt idx="420">
                  <c:v>1.0596305718399366</c:v>
                </c:pt>
                <c:pt idx="421">
                  <c:v>1.0666905355618583</c:v>
                </c:pt>
                <c:pt idx="422">
                  <c:v>1.0644758541627093</c:v>
                </c:pt>
                <c:pt idx="423">
                  <c:v>1.0597588121708332</c:v>
                </c:pt>
                <c:pt idx="424">
                  <c:v>1.0734258199079507</c:v>
                </c:pt>
                <c:pt idx="425">
                  <c:v>1.089074020297649</c:v>
                </c:pt>
                <c:pt idx="426">
                  <c:v>1.0815685197861695</c:v>
                </c:pt>
                <c:pt idx="427">
                  <c:v>1.0939811230129184</c:v>
                </c:pt>
                <c:pt idx="428">
                  <c:v>1.0942824090512611</c:v>
                </c:pt>
                <c:pt idx="429">
                  <c:v>1.0904270833722207</c:v>
                </c:pt>
                <c:pt idx="430">
                  <c:v>1.0958665485997421</c:v>
                </c:pt>
                <c:pt idx="431">
                  <c:v>1.0871048428280541</c:v>
                </c:pt>
                <c:pt idx="432">
                  <c:v>1.0908620160727382</c:v>
                </c:pt>
                <c:pt idx="433">
                  <c:v>1.089031220554562</c:v>
                </c:pt>
                <c:pt idx="434">
                  <c:v>1.0839673170376978</c:v>
                </c:pt>
                <c:pt idx="435">
                  <c:v>1.043154016626783</c:v>
                </c:pt>
                <c:pt idx="436">
                  <c:v>1.0243271211887564</c:v>
                </c:pt>
                <c:pt idx="437">
                  <c:v>1.0075079765110098</c:v>
                </c:pt>
                <c:pt idx="438">
                  <c:v>1.0391828673107519</c:v>
                </c:pt>
                <c:pt idx="439">
                  <c:v>1.0598445326543242</c:v>
                </c:pt>
                <c:pt idx="440">
                  <c:v>1.0653101401844856</c:v>
                </c:pt>
                <c:pt idx="441">
                  <c:v>1.0508431828007541</c:v>
                </c:pt>
                <c:pt idx="442">
                  <c:v>1.0686870399627502</c:v>
                </c:pt>
                <c:pt idx="443">
                  <c:v>1.0992817868799407</c:v>
                </c:pt>
                <c:pt idx="444">
                  <c:v>1.1020690138480793</c:v>
                </c:pt>
                <c:pt idx="445">
                  <c:v>1.1000281668312155</c:v>
                </c:pt>
                <c:pt idx="446">
                  <c:v>1.1051362226767703</c:v>
                </c:pt>
                <c:pt idx="447">
                  <c:v>1.114905496448038</c:v>
                </c:pt>
                <c:pt idx="448">
                  <c:v>1.0748125392163486</c:v>
                </c:pt>
                <c:pt idx="449">
                  <c:v>1.0830340097488378</c:v>
                </c:pt>
                <c:pt idx="450">
                  <c:v>1.0621106903388853</c:v>
                </c:pt>
                <c:pt idx="451">
                  <c:v>1.0660531080427087</c:v>
                </c:pt>
                <c:pt idx="452">
                  <c:v>1.0642430144076922</c:v>
                </c:pt>
                <c:pt idx="453">
                  <c:v>1.0824385019633405</c:v>
                </c:pt>
                <c:pt idx="454">
                  <c:v>1.0914761478288457</c:v>
                </c:pt>
                <c:pt idx="455">
                  <c:v>1.0911896348392855</c:v>
                </c:pt>
                <c:pt idx="456">
                  <c:v>1.0640941120005172</c:v>
                </c:pt>
                <c:pt idx="457">
                  <c:v>1.0665697837430477</c:v>
                </c:pt>
                <c:pt idx="458">
                  <c:v>1.0688755379888715</c:v>
                </c:pt>
                <c:pt idx="459">
                  <c:v>1.0956947013304954</c:v>
                </c:pt>
                <c:pt idx="460">
                  <c:v>1.0997026739419109</c:v>
                </c:pt>
                <c:pt idx="461">
                  <c:v>1.0844696827311147</c:v>
                </c:pt>
                <c:pt idx="462">
                  <c:v>1.0706224268202065</c:v>
                </c:pt>
                <c:pt idx="463">
                  <c:v>1.0736055872636538</c:v>
                </c:pt>
                <c:pt idx="464">
                  <c:v>1.0923463510993234</c:v>
                </c:pt>
                <c:pt idx="465">
                  <c:v>1.0959186801462497</c:v>
                </c:pt>
                <c:pt idx="466">
                  <c:v>1.0841964297119495</c:v>
                </c:pt>
                <c:pt idx="467">
                  <c:v>1.1131951659215202</c:v>
                </c:pt>
                <c:pt idx="468">
                  <c:v>1.1259617431955511</c:v>
                </c:pt>
                <c:pt idx="469">
                  <c:v>1.1215334369897398</c:v>
                </c:pt>
                <c:pt idx="470">
                  <c:v>1.1263374774486516</c:v>
                </c:pt>
                <c:pt idx="471">
                  <c:v>1.1223681119251152</c:v>
                </c:pt>
                <c:pt idx="472">
                  <c:v>1.1166810313345312</c:v>
                </c:pt>
                <c:pt idx="473">
                  <c:v>1.12182584918488</c:v>
                </c:pt>
                <c:pt idx="474">
                  <c:v>1.1027540122597332</c:v>
                </c:pt>
                <c:pt idx="475">
                  <c:v>1.1014975432234242</c:v>
                </c:pt>
                <c:pt idx="476">
                  <c:v>1.1117528164346573</c:v>
                </c:pt>
                <c:pt idx="477">
                  <c:v>1.1204567374037091</c:v>
                </c:pt>
                <c:pt idx="478">
                  <c:v>1.0981957036076335</c:v>
                </c:pt>
                <c:pt idx="479">
                  <c:v>1.0980724365908787</c:v>
                </c:pt>
                <c:pt idx="480">
                  <c:v>1.0851752470008211</c:v>
                </c:pt>
                <c:pt idx="481">
                  <c:v>1.1066501417984913</c:v>
                </c:pt>
                <c:pt idx="482">
                  <c:v>1.097179598156627</c:v>
                </c:pt>
                <c:pt idx="483">
                  <c:v>1.097179598156627</c:v>
                </c:pt>
                <c:pt idx="484">
                  <c:v>1.0889917143187406</c:v>
                </c:pt>
                <c:pt idx="485">
                  <c:v>1.1056313928590553</c:v>
                </c:pt>
                <c:pt idx="486">
                  <c:v>1.1189510530878608</c:v>
                </c:pt>
                <c:pt idx="487">
                  <c:v>1.0945487117467554</c:v>
                </c:pt>
                <c:pt idx="488">
                  <c:v>1.084405604890808</c:v>
                </c:pt>
                <c:pt idx="489">
                  <c:v>1.0876819028312754</c:v>
                </c:pt>
                <c:pt idx="490">
                  <c:v>1.096132934282374</c:v>
                </c:pt>
                <c:pt idx="491">
                  <c:v>1.0916573091112936</c:v>
                </c:pt>
                <c:pt idx="492">
                  <c:v>1.0771037213284322</c:v>
                </c:pt>
                <c:pt idx="493">
                  <c:v>1.0985042641553808</c:v>
                </c:pt>
                <c:pt idx="494">
                  <c:v>1.1072568508304421</c:v>
                </c:pt>
                <c:pt idx="495">
                  <c:v>1.110704811105411</c:v>
                </c:pt>
                <c:pt idx="496">
                  <c:v>1.1125005098943754</c:v>
                </c:pt>
                <c:pt idx="497">
                  <c:v>1.1163510263339935</c:v>
                </c:pt>
                <c:pt idx="498">
                  <c:v>1.106477053493697</c:v>
                </c:pt>
                <c:pt idx="499">
                  <c:v>1.1097361513593182</c:v>
                </c:pt>
                <c:pt idx="500">
                  <c:v>1.119894371279111</c:v>
                </c:pt>
                <c:pt idx="501">
                  <c:v>1.1095483097838121</c:v>
                </c:pt>
                <c:pt idx="502">
                  <c:v>1.1095483097838121</c:v>
                </c:pt>
                <c:pt idx="503">
                  <c:v>1.103130337983969</c:v>
                </c:pt>
                <c:pt idx="504">
                  <c:v>1.0953264879009526</c:v>
                </c:pt>
                <c:pt idx="505">
                  <c:v>1.1136605349177513</c:v>
                </c:pt>
                <c:pt idx="506">
                  <c:v>1.1029788218483447</c:v>
                </c:pt>
                <c:pt idx="507">
                  <c:v>1.0976700468862584</c:v>
                </c:pt>
                <c:pt idx="508">
                  <c:v>1.1087758751043064</c:v>
                </c:pt>
                <c:pt idx="509">
                  <c:v>1.1160331250899178</c:v>
                </c:pt>
                <c:pt idx="510">
                  <c:v>1.1079065866627897</c:v>
                </c:pt>
                <c:pt idx="511">
                  <c:v>1.112085483375937</c:v>
                </c:pt>
                <c:pt idx="512">
                  <c:v>1.0801540683933242</c:v>
                </c:pt>
                <c:pt idx="513">
                  <c:v>1.0838004639440229</c:v>
                </c:pt>
                <c:pt idx="514">
                  <c:v>1.0832004644242605</c:v>
                </c:pt>
                <c:pt idx="515">
                  <c:v>1.0980934305085599</c:v>
                </c:pt>
                <c:pt idx="516">
                  <c:v>1.0661850298540059</c:v>
                </c:pt>
                <c:pt idx="517">
                  <c:v>1.0686457238720837</c:v>
                </c:pt>
                <c:pt idx="518">
                  <c:v>1.0618978466802078</c:v>
                </c:pt>
                <c:pt idx="519">
                  <c:v>1.0532331690258792</c:v>
                </c:pt>
                <c:pt idx="520">
                  <c:v>1.0731815878574666</c:v>
                </c:pt>
                <c:pt idx="521">
                  <c:v>1.0701162035468914</c:v>
                </c:pt>
                <c:pt idx="522">
                  <c:v>1.0807075846092555</c:v>
                </c:pt>
                <c:pt idx="523">
                  <c:v>1.075839430736663</c:v>
                </c:pt>
                <c:pt idx="524">
                  <c:v>1.0776252443443681</c:v>
                </c:pt>
                <c:pt idx="525">
                  <c:v>1.0869842284294213</c:v>
                </c:pt>
                <c:pt idx="526">
                  <c:v>1.0877408580160672</c:v>
                </c:pt>
                <c:pt idx="527">
                  <c:v>1.0811664370187892</c:v>
                </c:pt>
                <c:pt idx="528">
                  <c:v>1.0856756650113546</c:v>
                </c:pt>
                <c:pt idx="529">
                  <c:v>1.0828887153317521</c:v>
                </c:pt>
                <c:pt idx="530">
                  <c:v>1.075811515802128</c:v>
                </c:pt>
                <c:pt idx="531">
                  <c:v>1.0739398143169705</c:v>
                </c:pt>
                <c:pt idx="532">
                  <c:v>1.0677470584664515</c:v>
                </c:pt>
                <c:pt idx="533">
                  <c:v>1.0613572770849169</c:v>
                </c:pt>
                <c:pt idx="534">
                  <c:v>1.0619647026454642</c:v>
                </c:pt>
                <c:pt idx="535">
                  <c:v>1.0672759578999687</c:v>
                </c:pt>
                <c:pt idx="536">
                  <c:v>1.0615061475739296</c:v>
                </c:pt>
                <c:pt idx="537">
                  <c:v>1.037471394002591</c:v>
                </c:pt>
                <c:pt idx="538">
                  <c:v>1.0392222874036525</c:v>
                </c:pt>
                <c:pt idx="539">
                  <c:v>1.032265535054318</c:v>
                </c:pt>
                <c:pt idx="540">
                  <c:v>1.0485185937502743</c:v>
                </c:pt>
                <c:pt idx="541">
                  <c:v>1.0651350559311337</c:v>
                </c:pt>
                <c:pt idx="542">
                  <c:v>1.0625246729836921</c:v>
                </c:pt>
                <c:pt idx="543">
                  <c:v>1.0655453087721254</c:v>
                </c:pt>
                <c:pt idx="544">
                  <c:v>1.0474849571791847</c:v>
                </c:pt>
                <c:pt idx="545">
                  <c:v>1.0309476100388832</c:v>
                </c:pt>
                <c:pt idx="546">
                  <c:v>1.0365009916525336</c:v>
                </c:pt>
                <c:pt idx="547">
                  <c:v>1.0383160096129256</c:v>
                </c:pt>
                <c:pt idx="548">
                  <c:v>1.0304755360229469</c:v>
                </c:pt>
                <c:pt idx="549">
                  <c:v>1.0398256626443856</c:v>
                </c:pt>
                <c:pt idx="550">
                  <c:v>1.0236057152556164</c:v>
                </c:pt>
                <c:pt idx="551">
                  <c:v>1.0145782545056119</c:v>
                </c:pt>
                <c:pt idx="552">
                  <c:v>1.0181426878086945</c:v>
                </c:pt>
                <c:pt idx="553">
                  <c:v>1.0116905047365563</c:v>
                </c:pt>
                <c:pt idx="554">
                  <c:v>1.002901914816932</c:v>
                </c:pt>
                <c:pt idx="555">
                  <c:v>0.99406004937420045</c:v>
                </c:pt>
                <c:pt idx="556">
                  <c:v>0.98831729771408283</c:v>
                </c:pt>
                <c:pt idx="557">
                  <c:v>1.0005314486035672</c:v>
                </c:pt>
                <c:pt idx="558">
                  <c:v>0.9877900810983038</c:v>
                </c:pt>
                <c:pt idx="559">
                  <c:v>0.97430685578781162</c:v>
                </c:pt>
                <c:pt idx="560">
                  <c:v>0.99245109323105196</c:v>
                </c:pt>
                <c:pt idx="561">
                  <c:v>0.9600268155247913</c:v>
                </c:pt>
                <c:pt idx="562">
                  <c:v>0.96265949788778071</c:v>
                </c:pt>
                <c:pt idx="563">
                  <c:v>0.9631128027586997</c:v>
                </c:pt>
                <c:pt idx="564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3+4'!$P$2</c:f>
              <c:strCache>
                <c:ptCount val="1"/>
                <c:pt idx="0">
                  <c:v>Shanghai Composite</c:v>
                </c:pt>
              </c:strCache>
            </c:strRef>
          </c:tx>
          <c:spPr>
            <a:ln w="19050" cap="rnd">
              <a:solidFill>
                <a:srgbClr val="555555"/>
              </a:solidFill>
              <a:round/>
            </a:ln>
            <a:effectLst/>
          </c:spPr>
          <c:marker>
            <c:symbol val="none"/>
          </c:marker>
          <c:cat>
            <c:numRef>
              <c:f>'Graf 3+4'!$L$3:$L$567</c:f>
              <c:numCache>
                <c:formatCode>m/d/yyyy</c:formatCode>
                <c:ptCount val="565"/>
                <c:pt idx="0">
                  <c:v>42824</c:v>
                </c:pt>
                <c:pt idx="1">
                  <c:v>42823</c:v>
                </c:pt>
                <c:pt idx="2">
                  <c:v>42822</c:v>
                </c:pt>
                <c:pt idx="3">
                  <c:v>42821</c:v>
                </c:pt>
                <c:pt idx="4">
                  <c:v>42818</c:v>
                </c:pt>
                <c:pt idx="5">
                  <c:v>42817</c:v>
                </c:pt>
                <c:pt idx="6">
                  <c:v>42816</c:v>
                </c:pt>
                <c:pt idx="7">
                  <c:v>42815</c:v>
                </c:pt>
                <c:pt idx="8">
                  <c:v>42814</c:v>
                </c:pt>
                <c:pt idx="9">
                  <c:v>42811</c:v>
                </c:pt>
                <c:pt idx="10">
                  <c:v>42810</c:v>
                </c:pt>
                <c:pt idx="11">
                  <c:v>42809</c:v>
                </c:pt>
                <c:pt idx="12">
                  <c:v>42808</c:v>
                </c:pt>
                <c:pt idx="13">
                  <c:v>42807</c:v>
                </c:pt>
                <c:pt idx="14">
                  <c:v>42804</c:v>
                </c:pt>
                <c:pt idx="15">
                  <c:v>42803</c:v>
                </c:pt>
                <c:pt idx="16">
                  <c:v>42802</c:v>
                </c:pt>
                <c:pt idx="17">
                  <c:v>42801</c:v>
                </c:pt>
                <c:pt idx="18">
                  <c:v>42800</c:v>
                </c:pt>
                <c:pt idx="19">
                  <c:v>42797</c:v>
                </c:pt>
                <c:pt idx="20">
                  <c:v>42796</c:v>
                </c:pt>
                <c:pt idx="21">
                  <c:v>42795</c:v>
                </c:pt>
                <c:pt idx="22">
                  <c:v>42794</c:v>
                </c:pt>
                <c:pt idx="23">
                  <c:v>42793</c:v>
                </c:pt>
                <c:pt idx="24">
                  <c:v>42790</c:v>
                </c:pt>
                <c:pt idx="25">
                  <c:v>42789</c:v>
                </c:pt>
                <c:pt idx="26">
                  <c:v>42788</c:v>
                </c:pt>
                <c:pt idx="27">
                  <c:v>42787</c:v>
                </c:pt>
                <c:pt idx="28">
                  <c:v>42783</c:v>
                </c:pt>
                <c:pt idx="29">
                  <c:v>42782</c:v>
                </c:pt>
                <c:pt idx="30">
                  <c:v>42781</c:v>
                </c:pt>
                <c:pt idx="31">
                  <c:v>42780</c:v>
                </c:pt>
                <c:pt idx="32">
                  <c:v>42779</c:v>
                </c:pt>
                <c:pt idx="33">
                  <c:v>42776</c:v>
                </c:pt>
                <c:pt idx="34">
                  <c:v>42775</c:v>
                </c:pt>
                <c:pt idx="35">
                  <c:v>42774</c:v>
                </c:pt>
                <c:pt idx="36">
                  <c:v>42773</c:v>
                </c:pt>
                <c:pt idx="37">
                  <c:v>42772</c:v>
                </c:pt>
                <c:pt idx="38">
                  <c:v>42769</c:v>
                </c:pt>
                <c:pt idx="39">
                  <c:v>42768</c:v>
                </c:pt>
                <c:pt idx="40">
                  <c:v>42767</c:v>
                </c:pt>
                <c:pt idx="41">
                  <c:v>42766</c:v>
                </c:pt>
                <c:pt idx="42">
                  <c:v>42765</c:v>
                </c:pt>
                <c:pt idx="43">
                  <c:v>42762</c:v>
                </c:pt>
                <c:pt idx="44">
                  <c:v>42761</c:v>
                </c:pt>
                <c:pt idx="45">
                  <c:v>42760</c:v>
                </c:pt>
                <c:pt idx="46">
                  <c:v>42759</c:v>
                </c:pt>
                <c:pt idx="47">
                  <c:v>42758</c:v>
                </c:pt>
                <c:pt idx="48">
                  <c:v>42755</c:v>
                </c:pt>
                <c:pt idx="49">
                  <c:v>42754</c:v>
                </c:pt>
                <c:pt idx="50">
                  <c:v>42753</c:v>
                </c:pt>
                <c:pt idx="51">
                  <c:v>42752</c:v>
                </c:pt>
                <c:pt idx="52">
                  <c:v>42748</c:v>
                </c:pt>
                <c:pt idx="53">
                  <c:v>42747</c:v>
                </c:pt>
                <c:pt idx="54">
                  <c:v>42746</c:v>
                </c:pt>
                <c:pt idx="55">
                  <c:v>42745</c:v>
                </c:pt>
                <c:pt idx="56">
                  <c:v>42744</c:v>
                </c:pt>
                <c:pt idx="57">
                  <c:v>42741</c:v>
                </c:pt>
                <c:pt idx="58">
                  <c:v>42740</c:v>
                </c:pt>
                <c:pt idx="59">
                  <c:v>42739</c:v>
                </c:pt>
                <c:pt idx="60">
                  <c:v>42738</c:v>
                </c:pt>
                <c:pt idx="61">
                  <c:v>42734</c:v>
                </c:pt>
                <c:pt idx="62">
                  <c:v>42733</c:v>
                </c:pt>
                <c:pt idx="63">
                  <c:v>42732</c:v>
                </c:pt>
                <c:pt idx="64">
                  <c:v>42731</c:v>
                </c:pt>
                <c:pt idx="65">
                  <c:v>42727</c:v>
                </c:pt>
                <c:pt idx="66">
                  <c:v>42726</c:v>
                </c:pt>
                <c:pt idx="67">
                  <c:v>42725</c:v>
                </c:pt>
                <c:pt idx="68">
                  <c:v>42724</c:v>
                </c:pt>
                <c:pt idx="69">
                  <c:v>42723</c:v>
                </c:pt>
                <c:pt idx="70">
                  <c:v>42720</c:v>
                </c:pt>
                <c:pt idx="71">
                  <c:v>42719</c:v>
                </c:pt>
                <c:pt idx="72">
                  <c:v>42718</c:v>
                </c:pt>
                <c:pt idx="73">
                  <c:v>42717</c:v>
                </c:pt>
                <c:pt idx="74">
                  <c:v>42716</c:v>
                </c:pt>
                <c:pt idx="75">
                  <c:v>42713</c:v>
                </c:pt>
                <c:pt idx="76">
                  <c:v>42712</c:v>
                </c:pt>
                <c:pt idx="77">
                  <c:v>42711</c:v>
                </c:pt>
                <c:pt idx="78">
                  <c:v>42710</c:v>
                </c:pt>
                <c:pt idx="79">
                  <c:v>42709</c:v>
                </c:pt>
                <c:pt idx="80">
                  <c:v>42706</c:v>
                </c:pt>
                <c:pt idx="81">
                  <c:v>42705</c:v>
                </c:pt>
                <c:pt idx="82">
                  <c:v>42704</c:v>
                </c:pt>
                <c:pt idx="83">
                  <c:v>42703</c:v>
                </c:pt>
                <c:pt idx="84">
                  <c:v>42702</c:v>
                </c:pt>
                <c:pt idx="85">
                  <c:v>42699</c:v>
                </c:pt>
                <c:pt idx="86">
                  <c:v>42697</c:v>
                </c:pt>
                <c:pt idx="87">
                  <c:v>42696</c:v>
                </c:pt>
                <c:pt idx="88">
                  <c:v>42695</c:v>
                </c:pt>
                <c:pt idx="89">
                  <c:v>42692</c:v>
                </c:pt>
                <c:pt idx="90">
                  <c:v>42691</c:v>
                </c:pt>
                <c:pt idx="91">
                  <c:v>42690</c:v>
                </c:pt>
                <c:pt idx="92">
                  <c:v>42689</c:v>
                </c:pt>
                <c:pt idx="93">
                  <c:v>42688</c:v>
                </c:pt>
                <c:pt idx="94">
                  <c:v>42685</c:v>
                </c:pt>
                <c:pt idx="95">
                  <c:v>42684</c:v>
                </c:pt>
                <c:pt idx="96">
                  <c:v>42683</c:v>
                </c:pt>
                <c:pt idx="97">
                  <c:v>42682</c:v>
                </c:pt>
                <c:pt idx="98">
                  <c:v>42681</c:v>
                </c:pt>
                <c:pt idx="99">
                  <c:v>42678</c:v>
                </c:pt>
                <c:pt idx="100">
                  <c:v>42677</c:v>
                </c:pt>
                <c:pt idx="101">
                  <c:v>42676</c:v>
                </c:pt>
                <c:pt idx="102">
                  <c:v>42675</c:v>
                </c:pt>
                <c:pt idx="103">
                  <c:v>42674</c:v>
                </c:pt>
                <c:pt idx="104">
                  <c:v>42671</c:v>
                </c:pt>
                <c:pt idx="105">
                  <c:v>42670</c:v>
                </c:pt>
                <c:pt idx="106">
                  <c:v>42669</c:v>
                </c:pt>
                <c:pt idx="107">
                  <c:v>42668</c:v>
                </c:pt>
                <c:pt idx="108">
                  <c:v>42667</c:v>
                </c:pt>
                <c:pt idx="109">
                  <c:v>42664</c:v>
                </c:pt>
                <c:pt idx="110">
                  <c:v>42663</c:v>
                </c:pt>
                <c:pt idx="111">
                  <c:v>42662</c:v>
                </c:pt>
                <c:pt idx="112">
                  <c:v>42661</c:v>
                </c:pt>
                <c:pt idx="113">
                  <c:v>42660</c:v>
                </c:pt>
                <c:pt idx="114">
                  <c:v>42657</c:v>
                </c:pt>
                <c:pt idx="115">
                  <c:v>42656</c:v>
                </c:pt>
                <c:pt idx="116">
                  <c:v>42655</c:v>
                </c:pt>
                <c:pt idx="117">
                  <c:v>42654</c:v>
                </c:pt>
                <c:pt idx="118">
                  <c:v>42653</c:v>
                </c:pt>
                <c:pt idx="119">
                  <c:v>42650</c:v>
                </c:pt>
                <c:pt idx="120">
                  <c:v>42649</c:v>
                </c:pt>
                <c:pt idx="121">
                  <c:v>42648</c:v>
                </c:pt>
                <c:pt idx="122">
                  <c:v>42647</c:v>
                </c:pt>
                <c:pt idx="123">
                  <c:v>42646</c:v>
                </c:pt>
                <c:pt idx="124">
                  <c:v>42643</c:v>
                </c:pt>
                <c:pt idx="125">
                  <c:v>42642</c:v>
                </c:pt>
                <c:pt idx="126">
                  <c:v>42641</c:v>
                </c:pt>
                <c:pt idx="127">
                  <c:v>42640</c:v>
                </c:pt>
                <c:pt idx="128">
                  <c:v>42639</c:v>
                </c:pt>
                <c:pt idx="129">
                  <c:v>42636</c:v>
                </c:pt>
                <c:pt idx="130">
                  <c:v>42635</c:v>
                </c:pt>
                <c:pt idx="131">
                  <c:v>42634</c:v>
                </c:pt>
                <c:pt idx="132">
                  <c:v>42633</c:v>
                </c:pt>
                <c:pt idx="133">
                  <c:v>42632</c:v>
                </c:pt>
                <c:pt idx="134">
                  <c:v>42629</c:v>
                </c:pt>
                <c:pt idx="135">
                  <c:v>42628</c:v>
                </c:pt>
                <c:pt idx="136">
                  <c:v>42627</c:v>
                </c:pt>
                <c:pt idx="137">
                  <c:v>42626</c:v>
                </c:pt>
                <c:pt idx="138">
                  <c:v>42625</c:v>
                </c:pt>
                <c:pt idx="139">
                  <c:v>42622</c:v>
                </c:pt>
                <c:pt idx="140">
                  <c:v>42621</c:v>
                </c:pt>
                <c:pt idx="141">
                  <c:v>42620</c:v>
                </c:pt>
                <c:pt idx="142">
                  <c:v>42619</c:v>
                </c:pt>
                <c:pt idx="143">
                  <c:v>42615</c:v>
                </c:pt>
                <c:pt idx="144">
                  <c:v>42614</c:v>
                </c:pt>
                <c:pt idx="145">
                  <c:v>42613</c:v>
                </c:pt>
                <c:pt idx="146">
                  <c:v>42612</c:v>
                </c:pt>
                <c:pt idx="147">
                  <c:v>42611</c:v>
                </c:pt>
                <c:pt idx="148">
                  <c:v>42608</c:v>
                </c:pt>
                <c:pt idx="149">
                  <c:v>42607</c:v>
                </c:pt>
                <c:pt idx="150">
                  <c:v>42606</c:v>
                </c:pt>
                <c:pt idx="151">
                  <c:v>42605</c:v>
                </c:pt>
                <c:pt idx="152">
                  <c:v>42604</c:v>
                </c:pt>
                <c:pt idx="153">
                  <c:v>42601</c:v>
                </c:pt>
                <c:pt idx="154">
                  <c:v>42600</c:v>
                </c:pt>
                <c:pt idx="155">
                  <c:v>42599</c:v>
                </c:pt>
                <c:pt idx="156">
                  <c:v>42598</c:v>
                </c:pt>
                <c:pt idx="157">
                  <c:v>42597</c:v>
                </c:pt>
                <c:pt idx="158">
                  <c:v>42594</c:v>
                </c:pt>
                <c:pt idx="159">
                  <c:v>42593</c:v>
                </c:pt>
                <c:pt idx="160">
                  <c:v>42592</c:v>
                </c:pt>
                <c:pt idx="161">
                  <c:v>42591</c:v>
                </c:pt>
                <c:pt idx="162">
                  <c:v>42590</c:v>
                </c:pt>
                <c:pt idx="163">
                  <c:v>42587</c:v>
                </c:pt>
                <c:pt idx="164">
                  <c:v>42586</c:v>
                </c:pt>
                <c:pt idx="165">
                  <c:v>42585</c:v>
                </c:pt>
                <c:pt idx="166">
                  <c:v>42584</c:v>
                </c:pt>
                <c:pt idx="167">
                  <c:v>42583</c:v>
                </c:pt>
                <c:pt idx="168">
                  <c:v>42580</c:v>
                </c:pt>
                <c:pt idx="169">
                  <c:v>42579</c:v>
                </c:pt>
                <c:pt idx="170">
                  <c:v>42578</c:v>
                </c:pt>
                <c:pt idx="171">
                  <c:v>42577</c:v>
                </c:pt>
                <c:pt idx="172">
                  <c:v>42576</c:v>
                </c:pt>
                <c:pt idx="173">
                  <c:v>42573</c:v>
                </c:pt>
                <c:pt idx="174">
                  <c:v>42572</c:v>
                </c:pt>
                <c:pt idx="175">
                  <c:v>42571</c:v>
                </c:pt>
                <c:pt idx="176">
                  <c:v>42570</c:v>
                </c:pt>
                <c:pt idx="177">
                  <c:v>42569</c:v>
                </c:pt>
                <c:pt idx="178">
                  <c:v>42566</c:v>
                </c:pt>
                <c:pt idx="179">
                  <c:v>42565</c:v>
                </c:pt>
                <c:pt idx="180">
                  <c:v>42564</c:v>
                </c:pt>
                <c:pt idx="181">
                  <c:v>42563</c:v>
                </c:pt>
                <c:pt idx="182">
                  <c:v>42562</c:v>
                </c:pt>
                <c:pt idx="183">
                  <c:v>42559</c:v>
                </c:pt>
                <c:pt idx="184">
                  <c:v>42558</c:v>
                </c:pt>
                <c:pt idx="185">
                  <c:v>42557</c:v>
                </c:pt>
                <c:pt idx="186">
                  <c:v>42556</c:v>
                </c:pt>
                <c:pt idx="187">
                  <c:v>42552</c:v>
                </c:pt>
                <c:pt idx="188">
                  <c:v>42551</c:v>
                </c:pt>
                <c:pt idx="189">
                  <c:v>42550</c:v>
                </c:pt>
                <c:pt idx="190">
                  <c:v>42549</c:v>
                </c:pt>
                <c:pt idx="191">
                  <c:v>42548</c:v>
                </c:pt>
                <c:pt idx="192">
                  <c:v>42545</c:v>
                </c:pt>
                <c:pt idx="193">
                  <c:v>42544</c:v>
                </c:pt>
                <c:pt idx="194">
                  <c:v>42543</c:v>
                </c:pt>
                <c:pt idx="195">
                  <c:v>42542</c:v>
                </c:pt>
                <c:pt idx="196">
                  <c:v>42541</c:v>
                </c:pt>
                <c:pt idx="197">
                  <c:v>42538</c:v>
                </c:pt>
                <c:pt idx="198">
                  <c:v>42537</c:v>
                </c:pt>
                <c:pt idx="199">
                  <c:v>42536</c:v>
                </c:pt>
                <c:pt idx="200">
                  <c:v>42535</c:v>
                </c:pt>
                <c:pt idx="201">
                  <c:v>42534</c:v>
                </c:pt>
                <c:pt idx="202">
                  <c:v>42531</c:v>
                </c:pt>
                <c:pt idx="203">
                  <c:v>42530</c:v>
                </c:pt>
                <c:pt idx="204">
                  <c:v>42529</c:v>
                </c:pt>
                <c:pt idx="205">
                  <c:v>42528</c:v>
                </c:pt>
                <c:pt idx="206">
                  <c:v>42527</c:v>
                </c:pt>
                <c:pt idx="207">
                  <c:v>42524</c:v>
                </c:pt>
                <c:pt idx="208">
                  <c:v>42523</c:v>
                </c:pt>
                <c:pt idx="209">
                  <c:v>42522</c:v>
                </c:pt>
                <c:pt idx="210">
                  <c:v>42521</c:v>
                </c:pt>
                <c:pt idx="211">
                  <c:v>42517</c:v>
                </c:pt>
                <c:pt idx="212">
                  <c:v>42516</c:v>
                </c:pt>
                <c:pt idx="213">
                  <c:v>42515</c:v>
                </c:pt>
                <c:pt idx="214">
                  <c:v>42514</c:v>
                </c:pt>
                <c:pt idx="215">
                  <c:v>42513</c:v>
                </c:pt>
                <c:pt idx="216">
                  <c:v>42510</c:v>
                </c:pt>
                <c:pt idx="217">
                  <c:v>42509</c:v>
                </c:pt>
                <c:pt idx="218">
                  <c:v>42508</c:v>
                </c:pt>
                <c:pt idx="219">
                  <c:v>42507</c:v>
                </c:pt>
                <c:pt idx="220">
                  <c:v>42506</c:v>
                </c:pt>
                <c:pt idx="221">
                  <c:v>42503</c:v>
                </c:pt>
                <c:pt idx="222">
                  <c:v>42502</c:v>
                </c:pt>
                <c:pt idx="223">
                  <c:v>42501</c:v>
                </c:pt>
                <c:pt idx="224">
                  <c:v>42500</c:v>
                </c:pt>
                <c:pt idx="225">
                  <c:v>42499</c:v>
                </c:pt>
                <c:pt idx="226">
                  <c:v>42496</c:v>
                </c:pt>
                <c:pt idx="227">
                  <c:v>42495</c:v>
                </c:pt>
                <c:pt idx="228">
                  <c:v>42494</c:v>
                </c:pt>
                <c:pt idx="229">
                  <c:v>42493</c:v>
                </c:pt>
                <c:pt idx="230">
                  <c:v>42492</c:v>
                </c:pt>
                <c:pt idx="231">
                  <c:v>42489</c:v>
                </c:pt>
                <c:pt idx="232">
                  <c:v>42488</c:v>
                </c:pt>
                <c:pt idx="233">
                  <c:v>42487</c:v>
                </c:pt>
                <c:pt idx="234">
                  <c:v>42486</c:v>
                </c:pt>
                <c:pt idx="235">
                  <c:v>42485</c:v>
                </c:pt>
                <c:pt idx="236">
                  <c:v>42482</c:v>
                </c:pt>
                <c:pt idx="237">
                  <c:v>42481</c:v>
                </c:pt>
                <c:pt idx="238">
                  <c:v>42480</c:v>
                </c:pt>
                <c:pt idx="239">
                  <c:v>42479</c:v>
                </c:pt>
                <c:pt idx="240">
                  <c:v>42478</c:v>
                </c:pt>
                <c:pt idx="241">
                  <c:v>42475</c:v>
                </c:pt>
                <c:pt idx="242">
                  <c:v>42474</c:v>
                </c:pt>
                <c:pt idx="243">
                  <c:v>42473</c:v>
                </c:pt>
                <c:pt idx="244">
                  <c:v>42472</c:v>
                </c:pt>
                <c:pt idx="245">
                  <c:v>42471</c:v>
                </c:pt>
                <c:pt idx="246">
                  <c:v>42468</c:v>
                </c:pt>
                <c:pt idx="247">
                  <c:v>42467</c:v>
                </c:pt>
                <c:pt idx="248">
                  <c:v>42466</c:v>
                </c:pt>
                <c:pt idx="249">
                  <c:v>42465</c:v>
                </c:pt>
                <c:pt idx="250">
                  <c:v>42464</c:v>
                </c:pt>
                <c:pt idx="251">
                  <c:v>42461</c:v>
                </c:pt>
                <c:pt idx="252">
                  <c:v>42460</c:v>
                </c:pt>
                <c:pt idx="253">
                  <c:v>42459</c:v>
                </c:pt>
                <c:pt idx="254">
                  <c:v>42458</c:v>
                </c:pt>
                <c:pt idx="255">
                  <c:v>42457</c:v>
                </c:pt>
                <c:pt idx="256">
                  <c:v>42453</c:v>
                </c:pt>
                <c:pt idx="257">
                  <c:v>42452</c:v>
                </c:pt>
                <c:pt idx="258">
                  <c:v>42451</c:v>
                </c:pt>
                <c:pt idx="259">
                  <c:v>42450</c:v>
                </c:pt>
                <c:pt idx="260">
                  <c:v>42447</c:v>
                </c:pt>
                <c:pt idx="261">
                  <c:v>42446</c:v>
                </c:pt>
                <c:pt idx="262">
                  <c:v>42445</c:v>
                </c:pt>
                <c:pt idx="263">
                  <c:v>42444</c:v>
                </c:pt>
                <c:pt idx="264">
                  <c:v>42443</c:v>
                </c:pt>
                <c:pt idx="265">
                  <c:v>42440</c:v>
                </c:pt>
                <c:pt idx="266">
                  <c:v>42439</c:v>
                </c:pt>
                <c:pt idx="267">
                  <c:v>42438</c:v>
                </c:pt>
                <c:pt idx="268">
                  <c:v>42437</c:v>
                </c:pt>
                <c:pt idx="269">
                  <c:v>42436</c:v>
                </c:pt>
                <c:pt idx="270">
                  <c:v>42433</c:v>
                </c:pt>
                <c:pt idx="271">
                  <c:v>42432</c:v>
                </c:pt>
                <c:pt idx="272">
                  <c:v>42431</c:v>
                </c:pt>
                <c:pt idx="273">
                  <c:v>42430</c:v>
                </c:pt>
                <c:pt idx="274">
                  <c:v>42429</c:v>
                </c:pt>
                <c:pt idx="275">
                  <c:v>42426</c:v>
                </c:pt>
                <c:pt idx="276">
                  <c:v>42425</c:v>
                </c:pt>
                <c:pt idx="277">
                  <c:v>42424</c:v>
                </c:pt>
                <c:pt idx="278">
                  <c:v>42423</c:v>
                </c:pt>
                <c:pt idx="279">
                  <c:v>42422</c:v>
                </c:pt>
                <c:pt idx="280">
                  <c:v>42419</c:v>
                </c:pt>
                <c:pt idx="281">
                  <c:v>42418</c:v>
                </c:pt>
                <c:pt idx="282">
                  <c:v>42417</c:v>
                </c:pt>
                <c:pt idx="283">
                  <c:v>42416</c:v>
                </c:pt>
                <c:pt idx="284">
                  <c:v>42412</c:v>
                </c:pt>
                <c:pt idx="285">
                  <c:v>42411</c:v>
                </c:pt>
                <c:pt idx="286">
                  <c:v>42410</c:v>
                </c:pt>
                <c:pt idx="287">
                  <c:v>42409</c:v>
                </c:pt>
                <c:pt idx="288">
                  <c:v>42408</c:v>
                </c:pt>
                <c:pt idx="289">
                  <c:v>42405</c:v>
                </c:pt>
                <c:pt idx="290">
                  <c:v>42404</c:v>
                </c:pt>
                <c:pt idx="291">
                  <c:v>42403</c:v>
                </c:pt>
                <c:pt idx="292">
                  <c:v>42402</c:v>
                </c:pt>
                <c:pt idx="293">
                  <c:v>42401</c:v>
                </c:pt>
                <c:pt idx="294">
                  <c:v>42398</c:v>
                </c:pt>
                <c:pt idx="295">
                  <c:v>42397</c:v>
                </c:pt>
                <c:pt idx="296">
                  <c:v>42396</c:v>
                </c:pt>
                <c:pt idx="297">
                  <c:v>42395</c:v>
                </c:pt>
                <c:pt idx="298">
                  <c:v>42394</c:v>
                </c:pt>
                <c:pt idx="299">
                  <c:v>42391</c:v>
                </c:pt>
                <c:pt idx="300">
                  <c:v>42390</c:v>
                </c:pt>
                <c:pt idx="301">
                  <c:v>42389</c:v>
                </c:pt>
                <c:pt idx="302">
                  <c:v>42388</c:v>
                </c:pt>
                <c:pt idx="303">
                  <c:v>42384</c:v>
                </c:pt>
                <c:pt idx="304">
                  <c:v>42383</c:v>
                </c:pt>
                <c:pt idx="305">
                  <c:v>42382</c:v>
                </c:pt>
                <c:pt idx="306">
                  <c:v>42381</c:v>
                </c:pt>
                <c:pt idx="307">
                  <c:v>42380</c:v>
                </c:pt>
                <c:pt idx="308">
                  <c:v>42377</c:v>
                </c:pt>
                <c:pt idx="309">
                  <c:v>42376</c:v>
                </c:pt>
                <c:pt idx="310">
                  <c:v>42375</c:v>
                </c:pt>
                <c:pt idx="311">
                  <c:v>42374</c:v>
                </c:pt>
                <c:pt idx="312">
                  <c:v>42373</c:v>
                </c:pt>
                <c:pt idx="313">
                  <c:v>42369</c:v>
                </c:pt>
                <c:pt idx="314">
                  <c:v>42368</c:v>
                </c:pt>
                <c:pt idx="315">
                  <c:v>42367</c:v>
                </c:pt>
                <c:pt idx="316">
                  <c:v>42366</c:v>
                </c:pt>
                <c:pt idx="317">
                  <c:v>42362</c:v>
                </c:pt>
                <c:pt idx="318">
                  <c:v>42361</c:v>
                </c:pt>
                <c:pt idx="319">
                  <c:v>42360</c:v>
                </c:pt>
                <c:pt idx="320">
                  <c:v>42359</c:v>
                </c:pt>
                <c:pt idx="321">
                  <c:v>42356</c:v>
                </c:pt>
                <c:pt idx="322">
                  <c:v>42355</c:v>
                </c:pt>
                <c:pt idx="323">
                  <c:v>42354</c:v>
                </c:pt>
                <c:pt idx="324">
                  <c:v>42353</c:v>
                </c:pt>
                <c:pt idx="325">
                  <c:v>42352</c:v>
                </c:pt>
                <c:pt idx="326">
                  <c:v>42349</c:v>
                </c:pt>
                <c:pt idx="327">
                  <c:v>42348</c:v>
                </c:pt>
                <c:pt idx="328">
                  <c:v>42347</c:v>
                </c:pt>
                <c:pt idx="329">
                  <c:v>42346</c:v>
                </c:pt>
                <c:pt idx="330">
                  <c:v>42345</c:v>
                </c:pt>
                <c:pt idx="331">
                  <c:v>42342</c:v>
                </c:pt>
                <c:pt idx="332">
                  <c:v>42341</c:v>
                </c:pt>
                <c:pt idx="333">
                  <c:v>42340</c:v>
                </c:pt>
                <c:pt idx="334">
                  <c:v>42339</c:v>
                </c:pt>
                <c:pt idx="335">
                  <c:v>42338</c:v>
                </c:pt>
                <c:pt idx="336">
                  <c:v>42335</c:v>
                </c:pt>
                <c:pt idx="337">
                  <c:v>42333</c:v>
                </c:pt>
                <c:pt idx="338">
                  <c:v>42332</c:v>
                </c:pt>
                <c:pt idx="339">
                  <c:v>42331</c:v>
                </c:pt>
                <c:pt idx="340">
                  <c:v>42328</c:v>
                </c:pt>
                <c:pt idx="341">
                  <c:v>42327</c:v>
                </c:pt>
                <c:pt idx="342">
                  <c:v>42326</c:v>
                </c:pt>
                <c:pt idx="343">
                  <c:v>42325</c:v>
                </c:pt>
                <c:pt idx="344">
                  <c:v>42324</c:v>
                </c:pt>
                <c:pt idx="345">
                  <c:v>42321</c:v>
                </c:pt>
                <c:pt idx="346">
                  <c:v>42320</c:v>
                </c:pt>
                <c:pt idx="347">
                  <c:v>42319</c:v>
                </c:pt>
                <c:pt idx="348">
                  <c:v>42318</c:v>
                </c:pt>
                <c:pt idx="349">
                  <c:v>42317</c:v>
                </c:pt>
                <c:pt idx="350">
                  <c:v>42314</c:v>
                </c:pt>
                <c:pt idx="351">
                  <c:v>42313</c:v>
                </c:pt>
                <c:pt idx="352">
                  <c:v>42312</c:v>
                </c:pt>
                <c:pt idx="353">
                  <c:v>42311</c:v>
                </c:pt>
                <c:pt idx="354">
                  <c:v>42310</c:v>
                </c:pt>
                <c:pt idx="355">
                  <c:v>42307</c:v>
                </c:pt>
                <c:pt idx="356">
                  <c:v>42306</c:v>
                </c:pt>
                <c:pt idx="357">
                  <c:v>42305</c:v>
                </c:pt>
                <c:pt idx="358">
                  <c:v>42304</c:v>
                </c:pt>
                <c:pt idx="359">
                  <c:v>42303</c:v>
                </c:pt>
                <c:pt idx="360">
                  <c:v>42300</c:v>
                </c:pt>
                <c:pt idx="361">
                  <c:v>42299</c:v>
                </c:pt>
                <c:pt idx="362">
                  <c:v>42298</c:v>
                </c:pt>
                <c:pt idx="363">
                  <c:v>42297</c:v>
                </c:pt>
                <c:pt idx="364">
                  <c:v>42296</c:v>
                </c:pt>
                <c:pt idx="365">
                  <c:v>42293</c:v>
                </c:pt>
                <c:pt idx="366">
                  <c:v>42292</c:v>
                </c:pt>
                <c:pt idx="367">
                  <c:v>42291</c:v>
                </c:pt>
                <c:pt idx="368">
                  <c:v>42290</c:v>
                </c:pt>
                <c:pt idx="369">
                  <c:v>42289</c:v>
                </c:pt>
                <c:pt idx="370">
                  <c:v>42286</c:v>
                </c:pt>
                <c:pt idx="371">
                  <c:v>42285</c:v>
                </c:pt>
                <c:pt idx="372">
                  <c:v>42284</c:v>
                </c:pt>
                <c:pt idx="373">
                  <c:v>42283</c:v>
                </c:pt>
                <c:pt idx="374">
                  <c:v>42282</c:v>
                </c:pt>
                <c:pt idx="375">
                  <c:v>42279</c:v>
                </c:pt>
                <c:pt idx="376">
                  <c:v>42278</c:v>
                </c:pt>
                <c:pt idx="377">
                  <c:v>42277</c:v>
                </c:pt>
                <c:pt idx="378">
                  <c:v>42276</c:v>
                </c:pt>
                <c:pt idx="379">
                  <c:v>42275</c:v>
                </c:pt>
                <c:pt idx="380">
                  <c:v>42272</c:v>
                </c:pt>
                <c:pt idx="381">
                  <c:v>42271</c:v>
                </c:pt>
                <c:pt idx="382">
                  <c:v>42270</c:v>
                </c:pt>
                <c:pt idx="383">
                  <c:v>42269</c:v>
                </c:pt>
                <c:pt idx="384">
                  <c:v>42268</c:v>
                </c:pt>
                <c:pt idx="385">
                  <c:v>42265</c:v>
                </c:pt>
                <c:pt idx="386">
                  <c:v>42264</c:v>
                </c:pt>
                <c:pt idx="387">
                  <c:v>42263</c:v>
                </c:pt>
                <c:pt idx="388">
                  <c:v>42262</c:v>
                </c:pt>
                <c:pt idx="389">
                  <c:v>42261</c:v>
                </c:pt>
                <c:pt idx="390">
                  <c:v>42258</c:v>
                </c:pt>
                <c:pt idx="391">
                  <c:v>42257</c:v>
                </c:pt>
                <c:pt idx="392">
                  <c:v>42256</c:v>
                </c:pt>
                <c:pt idx="393">
                  <c:v>42255</c:v>
                </c:pt>
                <c:pt idx="394">
                  <c:v>42251</c:v>
                </c:pt>
                <c:pt idx="395">
                  <c:v>42250</c:v>
                </c:pt>
                <c:pt idx="396">
                  <c:v>42249</c:v>
                </c:pt>
                <c:pt idx="397">
                  <c:v>42248</c:v>
                </c:pt>
                <c:pt idx="398">
                  <c:v>42247</c:v>
                </c:pt>
                <c:pt idx="399">
                  <c:v>42244</c:v>
                </c:pt>
                <c:pt idx="400">
                  <c:v>42243</c:v>
                </c:pt>
                <c:pt idx="401">
                  <c:v>42242</c:v>
                </c:pt>
                <c:pt idx="402">
                  <c:v>42241</c:v>
                </c:pt>
                <c:pt idx="403">
                  <c:v>42240</c:v>
                </c:pt>
                <c:pt idx="404">
                  <c:v>42237</c:v>
                </c:pt>
                <c:pt idx="405">
                  <c:v>42236</c:v>
                </c:pt>
                <c:pt idx="406">
                  <c:v>42235</c:v>
                </c:pt>
                <c:pt idx="407">
                  <c:v>42234</c:v>
                </c:pt>
                <c:pt idx="408">
                  <c:v>42233</c:v>
                </c:pt>
                <c:pt idx="409">
                  <c:v>42230</c:v>
                </c:pt>
                <c:pt idx="410">
                  <c:v>42229</c:v>
                </c:pt>
                <c:pt idx="411">
                  <c:v>42228</c:v>
                </c:pt>
                <c:pt idx="412">
                  <c:v>42227</c:v>
                </c:pt>
                <c:pt idx="413">
                  <c:v>42226</c:v>
                </c:pt>
                <c:pt idx="414">
                  <c:v>42223</c:v>
                </c:pt>
                <c:pt idx="415">
                  <c:v>42222</c:v>
                </c:pt>
                <c:pt idx="416">
                  <c:v>42221</c:v>
                </c:pt>
                <c:pt idx="417">
                  <c:v>42220</c:v>
                </c:pt>
                <c:pt idx="418">
                  <c:v>42219</c:v>
                </c:pt>
                <c:pt idx="419">
                  <c:v>42216</c:v>
                </c:pt>
                <c:pt idx="420">
                  <c:v>42215</c:v>
                </c:pt>
                <c:pt idx="421">
                  <c:v>42214</c:v>
                </c:pt>
                <c:pt idx="422">
                  <c:v>42213</c:v>
                </c:pt>
                <c:pt idx="423">
                  <c:v>42212</c:v>
                </c:pt>
                <c:pt idx="424">
                  <c:v>42209</c:v>
                </c:pt>
                <c:pt idx="425">
                  <c:v>42208</c:v>
                </c:pt>
                <c:pt idx="426">
                  <c:v>42207</c:v>
                </c:pt>
                <c:pt idx="427">
                  <c:v>42206</c:v>
                </c:pt>
                <c:pt idx="428">
                  <c:v>42205</c:v>
                </c:pt>
                <c:pt idx="429">
                  <c:v>42202</c:v>
                </c:pt>
                <c:pt idx="430">
                  <c:v>42201</c:v>
                </c:pt>
                <c:pt idx="431">
                  <c:v>42200</c:v>
                </c:pt>
                <c:pt idx="432">
                  <c:v>42199</c:v>
                </c:pt>
                <c:pt idx="433">
                  <c:v>42198</c:v>
                </c:pt>
                <c:pt idx="434">
                  <c:v>42195</c:v>
                </c:pt>
                <c:pt idx="435">
                  <c:v>42194</c:v>
                </c:pt>
                <c:pt idx="436">
                  <c:v>42193</c:v>
                </c:pt>
                <c:pt idx="437">
                  <c:v>42192</c:v>
                </c:pt>
                <c:pt idx="438">
                  <c:v>42191</c:v>
                </c:pt>
                <c:pt idx="439">
                  <c:v>42187</c:v>
                </c:pt>
                <c:pt idx="440">
                  <c:v>42186</c:v>
                </c:pt>
                <c:pt idx="441">
                  <c:v>42185</c:v>
                </c:pt>
                <c:pt idx="442">
                  <c:v>42184</c:v>
                </c:pt>
                <c:pt idx="443">
                  <c:v>42181</c:v>
                </c:pt>
                <c:pt idx="444">
                  <c:v>42180</c:v>
                </c:pt>
                <c:pt idx="445">
                  <c:v>42179</c:v>
                </c:pt>
                <c:pt idx="446">
                  <c:v>42178</c:v>
                </c:pt>
                <c:pt idx="447">
                  <c:v>42177</c:v>
                </c:pt>
                <c:pt idx="448">
                  <c:v>42174</c:v>
                </c:pt>
                <c:pt idx="449">
                  <c:v>42173</c:v>
                </c:pt>
                <c:pt idx="450">
                  <c:v>42172</c:v>
                </c:pt>
                <c:pt idx="451">
                  <c:v>42171</c:v>
                </c:pt>
                <c:pt idx="452">
                  <c:v>42170</c:v>
                </c:pt>
                <c:pt idx="453">
                  <c:v>42167</c:v>
                </c:pt>
                <c:pt idx="454">
                  <c:v>42166</c:v>
                </c:pt>
                <c:pt idx="455">
                  <c:v>42165</c:v>
                </c:pt>
                <c:pt idx="456">
                  <c:v>42164</c:v>
                </c:pt>
                <c:pt idx="457">
                  <c:v>42163</c:v>
                </c:pt>
                <c:pt idx="458">
                  <c:v>42160</c:v>
                </c:pt>
                <c:pt idx="459">
                  <c:v>42159</c:v>
                </c:pt>
                <c:pt idx="460">
                  <c:v>42158</c:v>
                </c:pt>
                <c:pt idx="461">
                  <c:v>42157</c:v>
                </c:pt>
                <c:pt idx="462">
                  <c:v>42156</c:v>
                </c:pt>
                <c:pt idx="463">
                  <c:v>42153</c:v>
                </c:pt>
                <c:pt idx="464">
                  <c:v>42152</c:v>
                </c:pt>
                <c:pt idx="465">
                  <c:v>42151</c:v>
                </c:pt>
                <c:pt idx="466">
                  <c:v>42150</c:v>
                </c:pt>
                <c:pt idx="467">
                  <c:v>42146</c:v>
                </c:pt>
                <c:pt idx="468">
                  <c:v>42145</c:v>
                </c:pt>
                <c:pt idx="469">
                  <c:v>42144</c:v>
                </c:pt>
                <c:pt idx="470">
                  <c:v>42143</c:v>
                </c:pt>
                <c:pt idx="471">
                  <c:v>42142</c:v>
                </c:pt>
                <c:pt idx="472">
                  <c:v>42139</c:v>
                </c:pt>
                <c:pt idx="473">
                  <c:v>42138</c:v>
                </c:pt>
                <c:pt idx="474">
                  <c:v>42137</c:v>
                </c:pt>
                <c:pt idx="475">
                  <c:v>42136</c:v>
                </c:pt>
                <c:pt idx="476">
                  <c:v>42135</c:v>
                </c:pt>
                <c:pt idx="477">
                  <c:v>42132</c:v>
                </c:pt>
                <c:pt idx="478">
                  <c:v>42131</c:v>
                </c:pt>
                <c:pt idx="479">
                  <c:v>42130</c:v>
                </c:pt>
                <c:pt idx="480">
                  <c:v>42129</c:v>
                </c:pt>
                <c:pt idx="481">
                  <c:v>42128</c:v>
                </c:pt>
                <c:pt idx="482">
                  <c:v>42125</c:v>
                </c:pt>
                <c:pt idx="483">
                  <c:v>42124</c:v>
                </c:pt>
                <c:pt idx="484">
                  <c:v>42123</c:v>
                </c:pt>
                <c:pt idx="485">
                  <c:v>42122</c:v>
                </c:pt>
                <c:pt idx="486">
                  <c:v>42121</c:v>
                </c:pt>
                <c:pt idx="487">
                  <c:v>42118</c:v>
                </c:pt>
                <c:pt idx="488">
                  <c:v>42117</c:v>
                </c:pt>
                <c:pt idx="489">
                  <c:v>42116</c:v>
                </c:pt>
                <c:pt idx="490">
                  <c:v>42115</c:v>
                </c:pt>
                <c:pt idx="491">
                  <c:v>42114</c:v>
                </c:pt>
                <c:pt idx="492">
                  <c:v>42111</c:v>
                </c:pt>
                <c:pt idx="493">
                  <c:v>42110</c:v>
                </c:pt>
                <c:pt idx="494">
                  <c:v>42109</c:v>
                </c:pt>
                <c:pt idx="495">
                  <c:v>42108</c:v>
                </c:pt>
                <c:pt idx="496">
                  <c:v>42107</c:v>
                </c:pt>
                <c:pt idx="497">
                  <c:v>42104</c:v>
                </c:pt>
                <c:pt idx="498">
                  <c:v>42103</c:v>
                </c:pt>
                <c:pt idx="499">
                  <c:v>42102</c:v>
                </c:pt>
                <c:pt idx="500">
                  <c:v>42101</c:v>
                </c:pt>
                <c:pt idx="501">
                  <c:v>42100</c:v>
                </c:pt>
                <c:pt idx="502">
                  <c:v>42096</c:v>
                </c:pt>
                <c:pt idx="503">
                  <c:v>42095</c:v>
                </c:pt>
                <c:pt idx="504">
                  <c:v>42094</c:v>
                </c:pt>
                <c:pt idx="505">
                  <c:v>42093</c:v>
                </c:pt>
                <c:pt idx="506">
                  <c:v>42090</c:v>
                </c:pt>
                <c:pt idx="507">
                  <c:v>42089</c:v>
                </c:pt>
                <c:pt idx="508">
                  <c:v>42088</c:v>
                </c:pt>
                <c:pt idx="509">
                  <c:v>42087</c:v>
                </c:pt>
                <c:pt idx="510">
                  <c:v>42086</c:v>
                </c:pt>
                <c:pt idx="511">
                  <c:v>42083</c:v>
                </c:pt>
                <c:pt idx="512">
                  <c:v>42082</c:v>
                </c:pt>
                <c:pt idx="513">
                  <c:v>42081</c:v>
                </c:pt>
                <c:pt idx="514">
                  <c:v>42080</c:v>
                </c:pt>
                <c:pt idx="515">
                  <c:v>42079</c:v>
                </c:pt>
                <c:pt idx="516">
                  <c:v>42076</c:v>
                </c:pt>
                <c:pt idx="517">
                  <c:v>42075</c:v>
                </c:pt>
                <c:pt idx="518">
                  <c:v>42074</c:v>
                </c:pt>
                <c:pt idx="519">
                  <c:v>42073</c:v>
                </c:pt>
                <c:pt idx="520">
                  <c:v>42072</c:v>
                </c:pt>
                <c:pt idx="521">
                  <c:v>42069</c:v>
                </c:pt>
                <c:pt idx="522">
                  <c:v>42068</c:v>
                </c:pt>
                <c:pt idx="523">
                  <c:v>42067</c:v>
                </c:pt>
                <c:pt idx="524">
                  <c:v>42066</c:v>
                </c:pt>
                <c:pt idx="525">
                  <c:v>42065</c:v>
                </c:pt>
                <c:pt idx="526">
                  <c:v>42062</c:v>
                </c:pt>
                <c:pt idx="527">
                  <c:v>42061</c:v>
                </c:pt>
                <c:pt idx="528">
                  <c:v>42060</c:v>
                </c:pt>
                <c:pt idx="529">
                  <c:v>42059</c:v>
                </c:pt>
                <c:pt idx="530">
                  <c:v>42058</c:v>
                </c:pt>
                <c:pt idx="531">
                  <c:v>42055</c:v>
                </c:pt>
                <c:pt idx="532">
                  <c:v>42054</c:v>
                </c:pt>
                <c:pt idx="533">
                  <c:v>42053</c:v>
                </c:pt>
                <c:pt idx="534">
                  <c:v>42052</c:v>
                </c:pt>
                <c:pt idx="535">
                  <c:v>42048</c:v>
                </c:pt>
                <c:pt idx="536">
                  <c:v>42047</c:v>
                </c:pt>
                <c:pt idx="537">
                  <c:v>42046</c:v>
                </c:pt>
                <c:pt idx="538">
                  <c:v>42045</c:v>
                </c:pt>
                <c:pt idx="539">
                  <c:v>42044</c:v>
                </c:pt>
                <c:pt idx="540">
                  <c:v>42041</c:v>
                </c:pt>
                <c:pt idx="541">
                  <c:v>42040</c:v>
                </c:pt>
                <c:pt idx="542">
                  <c:v>42039</c:v>
                </c:pt>
                <c:pt idx="543">
                  <c:v>42038</c:v>
                </c:pt>
                <c:pt idx="544">
                  <c:v>42037</c:v>
                </c:pt>
                <c:pt idx="545">
                  <c:v>42034</c:v>
                </c:pt>
                <c:pt idx="546">
                  <c:v>42033</c:v>
                </c:pt>
                <c:pt idx="547">
                  <c:v>42032</c:v>
                </c:pt>
                <c:pt idx="548">
                  <c:v>42031</c:v>
                </c:pt>
                <c:pt idx="549">
                  <c:v>42030</c:v>
                </c:pt>
                <c:pt idx="550">
                  <c:v>42027</c:v>
                </c:pt>
                <c:pt idx="551">
                  <c:v>42026</c:v>
                </c:pt>
                <c:pt idx="552">
                  <c:v>42025</c:v>
                </c:pt>
                <c:pt idx="553">
                  <c:v>42024</c:v>
                </c:pt>
                <c:pt idx="554">
                  <c:v>42020</c:v>
                </c:pt>
                <c:pt idx="555">
                  <c:v>42019</c:v>
                </c:pt>
                <c:pt idx="556">
                  <c:v>42018</c:v>
                </c:pt>
                <c:pt idx="557">
                  <c:v>42017</c:v>
                </c:pt>
                <c:pt idx="558">
                  <c:v>42016</c:v>
                </c:pt>
                <c:pt idx="559">
                  <c:v>42013</c:v>
                </c:pt>
                <c:pt idx="560">
                  <c:v>42012</c:v>
                </c:pt>
                <c:pt idx="561">
                  <c:v>42011</c:v>
                </c:pt>
                <c:pt idx="562">
                  <c:v>42010</c:v>
                </c:pt>
                <c:pt idx="563">
                  <c:v>42009</c:v>
                </c:pt>
                <c:pt idx="564">
                  <c:v>42006</c:v>
                </c:pt>
              </c:numCache>
            </c:numRef>
          </c:cat>
          <c:val>
            <c:numRef>
              <c:f>'Graf 3+4'!$P$3:$P$567</c:f>
              <c:numCache>
                <c:formatCode>General</c:formatCode>
                <c:ptCount val="565"/>
                <c:pt idx="0">
                  <c:v>0.95498959732835553</c:v>
                </c:pt>
                <c:pt idx="1">
                  <c:v>0.96525268240416606</c:v>
                </c:pt>
                <c:pt idx="2">
                  <c:v>0.96956642583983843</c:v>
                </c:pt>
                <c:pt idx="3">
                  <c:v>0.97665956521827346</c:v>
                </c:pt>
                <c:pt idx="4">
                  <c:v>0.97496156544302015</c:v>
                </c:pt>
                <c:pt idx="5">
                  <c:v>0.96800289429273434</c:v>
                </c:pt>
                <c:pt idx="6">
                  <c:v>0.96824150647899088</c:v>
                </c:pt>
                <c:pt idx="7">
                  <c:v>0.9709667083540352</c:v>
                </c:pt>
                <c:pt idx="8">
                  <c:v>0.96706152993578787</c:v>
                </c:pt>
                <c:pt idx="9">
                  <c:v>0.96345847925364581</c:v>
                </c:pt>
                <c:pt idx="10">
                  <c:v>0.97250206496789815</c:v>
                </c:pt>
                <c:pt idx="11">
                  <c:v>0.96382672583553841</c:v>
                </c:pt>
                <c:pt idx="12">
                  <c:v>0.96275683322346306</c:v>
                </c:pt>
                <c:pt idx="13">
                  <c:v>0.96211781780910033</c:v>
                </c:pt>
                <c:pt idx="14">
                  <c:v>0.95437552396316017</c:v>
                </c:pt>
                <c:pt idx="15">
                  <c:v>0.95460174393399511</c:v>
                </c:pt>
                <c:pt idx="16">
                  <c:v>0.96241357871876199</c:v>
                </c:pt>
                <c:pt idx="17">
                  <c:v>0.96464382866501741</c:v>
                </c:pt>
                <c:pt idx="18">
                  <c:v>0.96245349275390679</c:v>
                </c:pt>
                <c:pt idx="19">
                  <c:v>0.95597313274615714</c:v>
                </c:pt>
                <c:pt idx="20">
                  <c:v>0.96177981154426417</c:v>
                </c:pt>
                <c:pt idx="21">
                  <c:v>0.96889264514440954</c:v>
                </c:pt>
                <c:pt idx="22">
                  <c:v>0.96944461208480237</c:v>
                </c:pt>
                <c:pt idx="23">
                  <c:v>0.96459061798261247</c:v>
                </c:pt>
                <c:pt idx="24">
                  <c:v>0.9721615120951741</c:v>
                </c:pt>
                <c:pt idx="25">
                  <c:v>0.97138293197625325</c:v>
                </c:pt>
                <c:pt idx="26">
                  <c:v>0.97294948311187346</c:v>
                </c:pt>
                <c:pt idx="27">
                  <c:v>0.96972172902175768</c:v>
                </c:pt>
                <c:pt idx="28">
                  <c:v>0.95594541632606278</c:v>
                </c:pt>
                <c:pt idx="29">
                  <c:v>0.96583079972294827</c:v>
                </c:pt>
                <c:pt idx="30">
                  <c:v>0.96082988385158585</c:v>
                </c:pt>
                <c:pt idx="31">
                  <c:v>0.96037087324470005</c:v>
                </c:pt>
                <c:pt idx="32">
                  <c:v>0.9583581196795552</c:v>
                </c:pt>
                <c:pt idx="33">
                  <c:v>0.95211623230865361</c:v>
                </c:pt>
                <c:pt idx="34">
                  <c:v>0.94832142660347074</c:v>
                </c:pt>
                <c:pt idx="35">
                  <c:v>0.94396667998369721</c:v>
                </c:pt>
                <c:pt idx="36">
                  <c:v>0.93811352940941428</c:v>
                </c:pt>
                <c:pt idx="37">
                  <c:v>0.94390368392205581</c:v>
                </c:pt>
                <c:pt idx="38">
                  <c:v>0.94157182255246297</c:v>
                </c:pt>
                <c:pt idx="39">
                  <c:v>0.94064433604090913</c:v>
                </c:pt>
                <c:pt idx="40">
                  <c:v>0.94064433604090913</c:v>
                </c:pt>
                <c:pt idx="41">
                  <c:v>0.94064433604090913</c:v>
                </c:pt>
                <c:pt idx="42">
                  <c:v>0.94064433604090913</c:v>
                </c:pt>
                <c:pt idx="43">
                  <c:v>0.94064433604090913</c:v>
                </c:pt>
                <c:pt idx="44">
                  <c:v>0.94064433604090913</c:v>
                </c:pt>
                <c:pt idx="45">
                  <c:v>0.93945900140193683</c:v>
                </c:pt>
                <c:pt idx="46">
                  <c:v>0.93848641379954922</c:v>
                </c:pt>
                <c:pt idx="47">
                  <c:v>0.93816356126226008</c:v>
                </c:pt>
                <c:pt idx="48">
                  <c:v>0.92958778962741961</c:v>
                </c:pt>
                <c:pt idx="49">
                  <c:v>0.92147655575883292</c:v>
                </c:pt>
                <c:pt idx="50">
                  <c:v>0.93056527632961017</c:v>
                </c:pt>
                <c:pt idx="51">
                  <c:v>0.92912906410462459</c:v>
                </c:pt>
                <c:pt idx="52">
                  <c:v>0.92301557295054737</c:v>
                </c:pt>
                <c:pt idx="53">
                  <c:v>0.92694447167251681</c:v>
                </c:pt>
                <c:pt idx="54">
                  <c:v>0.9276015966779374</c:v>
                </c:pt>
                <c:pt idx="55">
                  <c:v>0.93462241922040645</c:v>
                </c:pt>
                <c:pt idx="56">
                  <c:v>0.93612683610079972</c:v>
                </c:pt>
                <c:pt idx="57">
                  <c:v>0.93160510688120945</c:v>
                </c:pt>
                <c:pt idx="58">
                  <c:v>0.94329080261726972</c:v>
                </c:pt>
                <c:pt idx="59">
                  <c:v>0.93600534408369307</c:v>
                </c:pt>
                <c:pt idx="60">
                  <c:v>0.92242709836039238</c:v>
                </c:pt>
                <c:pt idx="61">
                  <c:v>0.91374050369287785</c:v>
                </c:pt>
                <c:pt idx="62">
                  <c:v>0.90968710610434278</c:v>
                </c:pt>
                <c:pt idx="63">
                  <c:v>0.90755960033201277</c:v>
                </c:pt>
                <c:pt idx="64">
                  <c:v>0.91478924338287748</c:v>
                </c:pt>
                <c:pt idx="65">
                  <c:v>0.91485072960560831</c:v>
                </c:pt>
                <c:pt idx="66">
                  <c:v>0.92411649962320808</c:v>
                </c:pt>
                <c:pt idx="67">
                  <c:v>0.92500818703784504</c:v>
                </c:pt>
                <c:pt idx="68">
                  <c:v>0.91263296487672352</c:v>
                </c:pt>
                <c:pt idx="69">
                  <c:v>0.9152321657222473</c:v>
                </c:pt>
                <c:pt idx="70">
                  <c:v>0.91516496897669497</c:v>
                </c:pt>
                <c:pt idx="71">
                  <c:v>0.91948361982775073</c:v>
                </c:pt>
                <c:pt idx="72">
                  <c:v>0.93386587002884802</c:v>
                </c:pt>
                <c:pt idx="73">
                  <c:v>0.93638050819326635</c:v>
                </c:pt>
                <c:pt idx="74">
                  <c:v>0.93557975237320434</c:v>
                </c:pt>
                <c:pt idx="75">
                  <c:v>0.95780947537111216</c:v>
                </c:pt>
                <c:pt idx="76">
                  <c:v>0.95234677606161577</c:v>
                </c:pt>
                <c:pt idx="77">
                  <c:v>0.9589117741803086</c:v>
                </c:pt>
                <c:pt idx="78">
                  <c:v>0.95294767527991064</c:v>
                </c:pt>
                <c:pt idx="79">
                  <c:v>0.95666187653097357</c:v>
                </c:pt>
                <c:pt idx="80">
                  <c:v>0.96643632702988524</c:v>
                </c:pt>
                <c:pt idx="81">
                  <c:v>0.97489062421091455</c:v>
                </c:pt>
                <c:pt idx="82">
                  <c:v>0.96538713617386218</c:v>
                </c:pt>
                <c:pt idx="83">
                  <c:v>0.97695575762472453</c:v>
                </c:pt>
                <c:pt idx="84">
                  <c:v>0.97207803690994354</c:v>
                </c:pt>
                <c:pt idx="85">
                  <c:v>0.9666023936156285</c:v>
                </c:pt>
                <c:pt idx="86">
                  <c:v>0.96019908559704747</c:v>
                </c:pt>
                <c:pt idx="87">
                  <c:v>0.96638967452504598</c:v>
                </c:pt>
                <c:pt idx="88">
                  <c:v>0.95590469139555068</c:v>
                </c:pt>
                <c:pt idx="89">
                  <c:v>0.94855357724959433</c:v>
                </c:pt>
                <c:pt idx="90">
                  <c:v>0.9547725818447983</c:v>
                </c:pt>
                <c:pt idx="91">
                  <c:v>0.95425175548327479</c:v>
                </c:pt>
                <c:pt idx="92">
                  <c:v>0.95742592025950368</c:v>
                </c:pt>
                <c:pt idx="93">
                  <c:v>0.95995158224888266</c:v>
                </c:pt>
                <c:pt idx="94">
                  <c:v>0.96154173259315767</c:v>
                </c:pt>
                <c:pt idx="95">
                  <c:v>0.95234183459240529</c:v>
                </c:pt>
                <c:pt idx="96">
                  <c:v>0.94109390787347103</c:v>
                </c:pt>
                <c:pt idx="97">
                  <c:v>0.9496472824997948</c:v>
                </c:pt>
                <c:pt idx="98">
                  <c:v>0.94452812165701117</c:v>
                </c:pt>
                <c:pt idx="99">
                  <c:v>0.94604094229126456</c:v>
                </c:pt>
                <c:pt idx="100">
                  <c:v>0.94767047326044929</c:v>
                </c:pt>
                <c:pt idx="101">
                  <c:v>0.94035975474001021</c:v>
                </c:pt>
                <c:pt idx="102">
                  <c:v>0.94484387734600861</c:v>
                </c:pt>
                <c:pt idx="103">
                  <c:v>0.93639593121095221</c:v>
                </c:pt>
                <c:pt idx="104">
                  <c:v>0.936196621838564</c:v>
                </c:pt>
                <c:pt idx="105">
                  <c:v>0.93785087602138262</c:v>
                </c:pt>
                <c:pt idx="106">
                  <c:v>0.94138901120405483</c:v>
                </c:pt>
                <c:pt idx="107">
                  <c:v>0.9467017600683143</c:v>
                </c:pt>
                <c:pt idx="108">
                  <c:v>0.94510744178374062</c:v>
                </c:pt>
                <c:pt idx="109">
                  <c:v>0.9341891080529674</c:v>
                </c:pt>
                <c:pt idx="110">
                  <c:v>0.93558407284750911</c:v>
                </c:pt>
                <c:pt idx="111">
                  <c:v>0.93704870667378071</c:v>
                </c:pt>
                <c:pt idx="112">
                  <c:v>0.93674538162763654</c:v>
                </c:pt>
                <c:pt idx="113">
                  <c:v>0.92166219508721747</c:v>
                </c:pt>
                <c:pt idx="114">
                  <c:v>0.9303194899683882</c:v>
                </c:pt>
                <c:pt idx="115">
                  <c:v>0.92963403796255495</c:v>
                </c:pt>
                <c:pt idx="116">
                  <c:v>0.92870297367389454</c:v>
                </c:pt>
                <c:pt idx="117">
                  <c:v>0.93145423978649688</c:v>
                </c:pt>
                <c:pt idx="118">
                  <c:v>0.92845933885384291</c:v>
                </c:pt>
                <c:pt idx="119">
                  <c:v>0.92006791201686933</c:v>
                </c:pt>
                <c:pt idx="120">
                  <c:v>0.92006791201686933</c:v>
                </c:pt>
                <c:pt idx="121">
                  <c:v>0.92006791201686933</c:v>
                </c:pt>
                <c:pt idx="122">
                  <c:v>0.92006791201686933</c:v>
                </c:pt>
                <c:pt idx="123">
                  <c:v>0.92006791201686933</c:v>
                </c:pt>
                <c:pt idx="124">
                  <c:v>0.92006791201686933</c:v>
                </c:pt>
                <c:pt idx="125">
                  <c:v>0.91856460248951066</c:v>
                </c:pt>
                <c:pt idx="126">
                  <c:v>0.91315581339656404</c:v>
                </c:pt>
                <c:pt idx="127">
                  <c:v>0.91777554529138827</c:v>
                </c:pt>
                <c:pt idx="128">
                  <c:v>0.91256182850209377</c:v>
                </c:pt>
                <c:pt idx="129">
                  <c:v>0.92925581218098952</c:v>
                </c:pt>
                <c:pt idx="130">
                  <c:v>0.93318910895321272</c:v>
                </c:pt>
                <c:pt idx="131">
                  <c:v>0.92692582527528278</c:v>
                </c:pt>
                <c:pt idx="132">
                  <c:v>0.92546446958206152</c:v>
                </c:pt>
                <c:pt idx="133">
                  <c:v>0.92690743615160676</c:v>
                </c:pt>
                <c:pt idx="134">
                  <c:v>0.91872705854781089</c:v>
                </c:pt>
                <c:pt idx="135">
                  <c:v>0.91872705854781089</c:v>
                </c:pt>
                <c:pt idx="136">
                  <c:v>0.91872705854781089</c:v>
                </c:pt>
                <c:pt idx="137">
                  <c:v>0.9231480978700628</c:v>
                </c:pt>
                <c:pt idx="138">
                  <c:v>0.92271583513324984</c:v>
                </c:pt>
                <c:pt idx="139">
                  <c:v>0.9397653250639193</c:v>
                </c:pt>
                <c:pt idx="140">
                  <c:v>0.94926946762827624</c:v>
                </c:pt>
                <c:pt idx="141">
                  <c:v>0.94892829532533973</c:v>
                </c:pt>
                <c:pt idx="142">
                  <c:v>0.94512618121918091</c:v>
                </c:pt>
                <c:pt idx="143">
                  <c:v>0.93829416783635811</c:v>
                </c:pt>
                <c:pt idx="144">
                  <c:v>0.93832232229095558</c:v>
                </c:pt>
                <c:pt idx="145">
                  <c:v>0.94375633857628594</c:v>
                </c:pt>
                <c:pt idx="146">
                  <c:v>0.94062963800149291</c:v>
                </c:pt>
                <c:pt idx="147">
                  <c:v>0.93963989563785599</c:v>
                </c:pt>
                <c:pt idx="148">
                  <c:v>0.94094485048336507</c:v>
                </c:pt>
                <c:pt idx="149">
                  <c:v>0.94205557097743586</c:v>
                </c:pt>
                <c:pt idx="150">
                  <c:v>0.94795221745222102</c:v>
                </c:pt>
                <c:pt idx="151">
                  <c:v>0.95052602184545321</c:v>
                </c:pt>
                <c:pt idx="152">
                  <c:v>0.94771671238032873</c:v>
                </c:pt>
                <c:pt idx="153">
                  <c:v>0.9554508916038873</c:v>
                </c:pt>
                <c:pt idx="154">
                  <c:v>0.95764308153989264</c:v>
                </c:pt>
                <c:pt idx="155">
                  <c:v>0.95894106728280204</c:v>
                </c:pt>
                <c:pt idx="156">
                  <c:v>0.96004578986157352</c:v>
                </c:pt>
                <c:pt idx="157">
                  <c:v>0.9632891537241195</c:v>
                </c:pt>
                <c:pt idx="158">
                  <c:v>0.93851955237495788</c:v>
                </c:pt>
                <c:pt idx="159">
                  <c:v>0.92339591495071671</c:v>
                </c:pt>
                <c:pt idx="160">
                  <c:v>0.92807226132448983</c:v>
                </c:pt>
                <c:pt idx="161">
                  <c:v>0.92767362106106654</c:v>
                </c:pt>
                <c:pt idx="162">
                  <c:v>0.91988334854052001</c:v>
                </c:pt>
                <c:pt idx="163">
                  <c:v>0.91137558070008051</c:v>
                </c:pt>
                <c:pt idx="164">
                  <c:v>0.91557649771551741</c:v>
                </c:pt>
                <c:pt idx="165">
                  <c:v>0.91570796223156181</c:v>
                </c:pt>
                <c:pt idx="166">
                  <c:v>0.91392588083622006</c:v>
                </c:pt>
                <c:pt idx="167">
                  <c:v>0.90533147110020429</c:v>
                </c:pt>
                <c:pt idx="168">
                  <c:v>0.914579923203513</c:v>
                </c:pt>
                <c:pt idx="169">
                  <c:v>0.9170663458793642</c:v>
                </c:pt>
                <c:pt idx="170">
                  <c:v>0.91388357684421484</c:v>
                </c:pt>
                <c:pt idx="171">
                  <c:v>0.93282137616611571</c:v>
                </c:pt>
                <c:pt idx="172">
                  <c:v>0.92054109943072882</c:v>
                </c:pt>
                <c:pt idx="173">
                  <c:v>0.91987106754366388</c:v>
                </c:pt>
                <c:pt idx="174">
                  <c:v>0.92811887483673416</c:v>
                </c:pt>
                <c:pt idx="175">
                  <c:v>0.92490063082152263</c:v>
                </c:pt>
                <c:pt idx="176">
                  <c:v>0.92440432042608967</c:v>
                </c:pt>
                <c:pt idx="177">
                  <c:v>0.92660388393369875</c:v>
                </c:pt>
                <c:pt idx="178">
                  <c:v>0.93138194695749155</c:v>
                </c:pt>
                <c:pt idx="179">
                  <c:v>0.93223280586056445</c:v>
                </c:pt>
                <c:pt idx="180">
                  <c:v>0.93414361849777827</c:v>
                </c:pt>
                <c:pt idx="181">
                  <c:v>0.92995490628039357</c:v>
                </c:pt>
                <c:pt idx="182">
                  <c:v>0.91070378492634108</c:v>
                </c:pt>
                <c:pt idx="183">
                  <c:v>0.9098124319121248</c:v>
                </c:pt>
                <c:pt idx="184">
                  <c:v>0.92036530301257957</c:v>
                </c:pt>
                <c:pt idx="185">
                  <c:v>0.91868692049293532</c:v>
                </c:pt>
                <c:pt idx="186">
                  <c:v>0.9167408745840917</c:v>
                </c:pt>
                <c:pt idx="187">
                  <c:v>0.89517166976348972</c:v>
                </c:pt>
                <c:pt idx="188">
                  <c:v>0.89455285837427989</c:v>
                </c:pt>
                <c:pt idx="189">
                  <c:v>0.89914990713368881</c:v>
                </c:pt>
                <c:pt idx="190">
                  <c:v>0.88956229395763797</c:v>
                </c:pt>
                <c:pt idx="191">
                  <c:v>0.88393860513722866</c:v>
                </c:pt>
                <c:pt idx="192">
                  <c:v>0.87234314668811086</c:v>
                </c:pt>
                <c:pt idx="193">
                  <c:v>0.89436396971590337</c:v>
                </c:pt>
                <c:pt idx="194">
                  <c:v>0.89752556403765693</c:v>
                </c:pt>
                <c:pt idx="195">
                  <c:v>0.88689029409621978</c:v>
                </c:pt>
                <c:pt idx="196">
                  <c:v>0.89187636485181843</c:v>
                </c:pt>
                <c:pt idx="197">
                  <c:v>0.88923749009911091</c:v>
                </c:pt>
                <c:pt idx="198">
                  <c:v>0.88425853870347826</c:v>
                </c:pt>
                <c:pt idx="199">
                  <c:v>0.89043662465564455</c:v>
                </c:pt>
                <c:pt idx="200">
                  <c:v>0.87277499432325145</c:v>
                </c:pt>
                <c:pt idx="201">
                  <c:v>0.8712150268247818</c:v>
                </c:pt>
                <c:pt idx="202">
                  <c:v>0.90629862019216434</c:v>
                </c:pt>
                <c:pt idx="203">
                  <c:v>0.90629862019216434</c:v>
                </c:pt>
                <c:pt idx="204">
                  <c:v>0.90629862019216434</c:v>
                </c:pt>
                <c:pt idx="205">
                  <c:v>0.90858080864846347</c:v>
                </c:pt>
                <c:pt idx="206">
                  <c:v>0.90837426640789021</c:v>
                </c:pt>
                <c:pt idx="207">
                  <c:v>0.91145500379696021</c:v>
                </c:pt>
                <c:pt idx="208">
                  <c:v>0.90325472040167165</c:v>
                </c:pt>
                <c:pt idx="209">
                  <c:v>0.89970462325482559</c:v>
                </c:pt>
                <c:pt idx="210">
                  <c:v>0.89979800369631247</c:v>
                </c:pt>
                <c:pt idx="211">
                  <c:v>0.86898365908280017</c:v>
                </c:pt>
                <c:pt idx="212">
                  <c:v>0.87138240797491018</c:v>
                </c:pt>
                <c:pt idx="213">
                  <c:v>0.86811095314697662</c:v>
                </c:pt>
                <c:pt idx="214">
                  <c:v>0.87057984162205515</c:v>
                </c:pt>
                <c:pt idx="215">
                  <c:v>0.87753668195153978</c:v>
                </c:pt>
                <c:pt idx="216">
                  <c:v>0.87166126481912443</c:v>
                </c:pt>
                <c:pt idx="217">
                  <c:v>0.86679369822244645</c:v>
                </c:pt>
                <c:pt idx="218">
                  <c:v>0.86736168479914744</c:v>
                </c:pt>
                <c:pt idx="219">
                  <c:v>0.88300923214138516</c:v>
                </c:pt>
                <c:pt idx="220">
                  <c:v>0.8856034564816202</c:v>
                </c:pt>
                <c:pt idx="221">
                  <c:v>0.8754387511647006</c:v>
                </c:pt>
                <c:pt idx="222">
                  <c:v>0.88095172794236776</c:v>
                </c:pt>
                <c:pt idx="223">
                  <c:v>0.88544619432322347</c:v>
                </c:pt>
                <c:pt idx="224">
                  <c:v>0.87935495933326968</c:v>
                </c:pt>
                <c:pt idx="225">
                  <c:v>0.87881772341506226</c:v>
                </c:pt>
                <c:pt idx="226">
                  <c:v>0.90955991808179903</c:v>
                </c:pt>
                <c:pt idx="227">
                  <c:v>0.93750919626427609</c:v>
                </c:pt>
                <c:pt idx="228">
                  <c:v>0.93714659070535289</c:v>
                </c:pt>
                <c:pt idx="229">
                  <c:v>0.9376664087605735</c:v>
                </c:pt>
                <c:pt idx="230">
                  <c:v>0.92195665693543316</c:v>
                </c:pt>
                <c:pt idx="231">
                  <c:v>0.92195665693543316</c:v>
                </c:pt>
                <c:pt idx="232">
                  <c:v>0.9244230051531892</c:v>
                </c:pt>
                <c:pt idx="233">
                  <c:v>0.92316991032232965</c:v>
                </c:pt>
                <c:pt idx="234">
                  <c:v>0.92851465273055012</c:v>
                </c:pt>
                <c:pt idx="235">
                  <c:v>0.92202395518539682</c:v>
                </c:pt>
                <c:pt idx="236">
                  <c:v>0.92435419161082688</c:v>
                </c:pt>
                <c:pt idx="237">
                  <c:v>0.92567083794127614</c:v>
                </c:pt>
                <c:pt idx="238">
                  <c:v>0.93433390097705016</c:v>
                </c:pt>
                <c:pt idx="239">
                  <c:v>0.9590636607995664</c:v>
                </c:pt>
                <c:pt idx="240">
                  <c:v>0.95326304229233405</c:v>
                </c:pt>
                <c:pt idx="241">
                  <c:v>0.96700555551266953</c:v>
                </c:pt>
                <c:pt idx="242">
                  <c:v>0.96787423341157841</c:v>
                </c:pt>
                <c:pt idx="243">
                  <c:v>0.96330510791125223</c:v>
                </c:pt>
                <c:pt idx="244">
                  <c:v>0.95151268810782019</c:v>
                </c:pt>
                <c:pt idx="245">
                  <c:v>0.95555859055684378</c:v>
                </c:pt>
                <c:pt idx="246">
                  <c:v>0.93805762401380299</c:v>
                </c:pt>
                <c:pt idx="247">
                  <c:v>0.9465007766706397</c:v>
                </c:pt>
                <c:pt idx="248">
                  <c:v>0.95795983309676624</c:v>
                </c:pt>
                <c:pt idx="249">
                  <c:v>0.95870818866042895</c:v>
                </c:pt>
                <c:pt idx="250">
                  <c:v>0.94425805153375997</c:v>
                </c:pt>
                <c:pt idx="251">
                  <c:v>0.94425805153375997</c:v>
                </c:pt>
                <c:pt idx="252">
                  <c:v>0.94639418315519519</c:v>
                </c:pt>
                <c:pt idx="253">
                  <c:v>0.9436442096763662</c:v>
                </c:pt>
                <c:pt idx="254">
                  <c:v>0.9093525752450935</c:v>
                </c:pt>
                <c:pt idx="255">
                  <c:v>0.92425973796858352</c:v>
                </c:pt>
                <c:pt idx="256">
                  <c:v>0.92143030402043813</c:v>
                </c:pt>
                <c:pt idx="257">
                  <c:v>0.93975924230185348</c:v>
                </c:pt>
                <c:pt idx="258">
                  <c:v>0.93864879605018814</c:v>
                </c:pt>
                <c:pt idx="259">
                  <c:v>0.94599160112599812</c:v>
                </c:pt>
                <c:pt idx="260">
                  <c:v>0.92601264863772825</c:v>
                </c:pt>
                <c:pt idx="261">
                  <c:v>0.90815612951501157</c:v>
                </c:pt>
                <c:pt idx="262">
                  <c:v>0.88882552362021627</c:v>
                </c:pt>
                <c:pt idx="263">
                  <c:v>0.88850700543572358</c:v>
                </c:pt>
                <c:pt idx="264">
                  <c:v>0.888388802899861</c:v>
                </c:pt>
                <c:pt idx="265">
                  <c:v>0.87434450112675188</c:v>
                </c:pt>
                <c:pt idx="266">
                  <c:v>0.86760554904901133</c:v>
                </c:pt>
                <c:pt idx="267">
                  <c:v>0.88714569043510827</c:v>
                </c:pt>
                <c:pt idx="268">
                  <c:v>0.90231674162230635</c:v>
                </c:pt>
                <c:pt idx="269">
                  <c:v>0.89930249482980229</c:v>
                </c:pt>
                <c:pt idx="270">
                  <c:v>0.89166656876250427</c:v>
                </c:pt>
                <c:pt idx="271">
                  <c:v>0.88306819918713253</c:v>
                </c:pt>
                <c:pt idx="272">
                  <c:v>0.87661292561869653</c:v>
                </c:pt>
                <c:pt idx="273">
                  <c:v>0.83380932472403213</c:v>
                </c:pt>
                <c:pt idx="274">
                  <c:v>0.81670215247014188</c:v>
                </c:pt>
                <c:pt idx="275">
                  <c:v>0.84773521221243509</c:v>
                </c:pt>
                <c:pt idx="276">
                  <c:v>0.83886565880087915</c:v>
                </c:pt>
                <c:pt idx="277">
                  <c:v>0.9033927603512073</c:v>
                </c:pt>
                <c:pt idx="278">
                  <c:v>0.89466470332871095</c:v>
                </c:pt>
                <c:pt idx="279">
                  <c:v>0.90407102891260993</c:v>
                </c:pt>
                <c:pt idx="280">
                  <c:v>0.8806534502686798</c:v>
                </c:pt>
                <c:pt idx="281">
                  <c:v>0.88260638387244184</c:v>
                </c:pt>
                <c:pt idx="282">
                  <c:v>0.88240960440459149</c:v>
                </c:pt>
                <c:pt idx="283">
                  <c:v>0.87329759477737268</c:v>
                </c:pt>
                <c:pt idx="284">
                  <c:v>0.83796811345030298</c:v>
                </c:pt>
                <c:pt idx="285">
                  <c:v>0.83796811345030298</c:v>
                </c:pt>
                <c:pt idx="286">
                  <c:v>0.83796811345030298</c:v>
                </c:pt>
                <c:pt idx="287">
                  <c:v>0.83796811345030298</c:v>
                </c:pt>
                <c:pt idx="288">
                  <c:v>0.83796811345030298</c:v>
                </c:pt>
                <c:pt idx="289">
                  <c:v>0.83796811345030298</c:v>
                </c:pt>
                <c:pt idx="290">
                  <c:v>0.84531511709048424</c:v>
                </c:pt>
                <c:pt idx="291">
                  <c:v>0.8283941738826992</c:v>
                </c:pt>
                <c:pt idx="292">
                  <c:v>0.83202746410346973</c:v>
                </c:pt>
                <c:pt idx="293">
                  <c:v>0.80916675795933068</c:v>
                </c:pt>
                <c:pt idx="294">
                  <c:v>0.82761482443497947</c:v>
                </c:pt>
                <c:pt idx="295">
                  <c:v>0.79632140030010756</c:v>
                </c:pt>
                <c:pt idx="296">
                  <c:v>0.82555775374985574</c:v>
                </c:pt>
                <c:pt idx="297">
                  <c:v>0.82994523167244028</c:v>
                </c:pt>
                <c:pt idx="298">
                  <c:v>0.89464055963643041</c:v>
                </c:pt>
                <c:pt idx="299">
                  <c:v>0.88685338758707788</c:v>
                </c:pt>
                <c:pt idx="300">
                  <c:v>0.87451207783514295</c:v>
                </c:pt>
                <c:pt idx="301">
                  <c:v>0.90630439305493105</c:v>
                </c:pt>
                <c:pt idx="302">
                  <c:v>0.91748320099847547</c:v>
                </c:pt>
                <c:pt idx="303">
                  <c:v>0.8812460353491669</c:v>
                </c:pt>
                <c:pt idx="304">
                  <c:v>0.91423547614076828</c:v>
                </c:pt>
                <c:pt idx="305">
                  <c:v>0.896704721804366</c:v>
                </c:pt>
                <c:pt idx="306">
                  <c:v>0.92211364275882013</c:v>
                </c:pt>
                <c:pt idx="307">
                  <c:v>0.91921822665553066</c:v>
                </c:pt>
                <c:pt idx="308">
                  <c:v>0.96939647255066297</c:v>
                </c:pt>
                <c:pt idx="309">
                  <c:v>0.94968329041202137</c:v>
                </c:pt>
                <c:pt idx="310">
                  <c:v>1.0267419359478542</c:v>
                </c:pt>
                <c:pt idx="311">
                  <c:v>1.0083944939917711</c:v>
                </c:pt>
                <c:pt idx="312">
                  <c:v>1.0095807554008362</c:v>
                </c:pt>
                <c:pt idx="313">
                  <c:v>1.0844648987938821</c:v>
                </c:pt>
                <c:pt idx="314">
                  <c:v>1.0932084703010787</c:v>
                </c:pt>
                <c:pt idx="315">
                  <c:v>1.092234215253526</c:v>
                </c:pt>
                <c:pt idx="316">
                  <c:v>1.0827922978845455</c:v>
                </c:pt>
                <c:pt idx="317">
                  <c:v>1.1061928818946152</c:v>
                </c:pt>
                <c:pt idx="318">
                  <c:v>1.1128992842285674</c:v>
                </c:pt>
                <c:pt idx="319">
                  <c:v>1.1166235664739297</c:v>
                </c:pt>
                <c:pt idx="320">
                  <c:v>1.1132670382966072</c:v>
                </c:pt>
                <c:pt idx="321">
                  <c:v>1.096024516807927</c:v>
                </c:pt>
                <c:pt idx="322">
                  <c:v>1.0960977301369539</c:v>
                </c:pt>
                <c:pt idx="323">
                  <c:v>1.0795514337801486</c:v>
                </c:pt>
                <c:pt idx="324">
                  <c:v>1.0800872513139206</c:v>
                </c:pt>
                <c:pt idx="325">
                  <c:v>1.0829398079458024</c:v>
                </c:pt>
                <c:pt idx="326">
                  <c:v>1.0576212342889995</c:v>
                </c:pt>
                <c:pt idx="327">
                  <c:v>1.0676427580782306</c:v>
                </c:pt>
                <c:pt idx="328">
                  <c:v>1.0738678467909542</c:v>
                </c:pt>
                <c:pt idx="329">
                  <c:v>1.0752093405282537</c:v>
                </c:pt>
                <c:pt idx="330">
                  <c:v>1.0952288100692886</c:v>
                </c:pt>
                <c:pt idx="331">
                  <c:v>1.0932526389568022</c:v>
                </c:pt>
                <c:pt idx="332">
                  <c:v>1.1117568333154266</c:v>
                </c:pt>
                <c:pt idx="333">
                  <c:v>1.0958275347852999</c:v>
                </c:pt>
                <c:pt idx="334">
                  <c:v>1.0725408791580433</c:v>
                </c:pt>
                <c:pt idx="335">
                  <c:v>1.0697523303878516</c:v>
                </c:pt>
                <c:pt idx="336">
                  <c:v>1.067213328757656</c:v>
                </c:pt>
                <c:pt idx="337">
                  <c:v>1.1263306767599959</c:v>
                </c:pt>
                <c:pt idx="338">
                  <c:v>1.1174213731061169</c:v>
                </c:pt>
                <c:pt idx="339">
                  <c:v>1.1162229298509985</c:v>
                </c:pt>
                <c:pt idx="340">
                  <c:v>1.1224366820620295</c:v>
                </c:pt>
                <c:pt idx="341">
                  <c:v>1.1190832469939842</c:v>
                </c:pt>
                <c:pt idx="342">
                  <c:v>1.1050048822435925</c:v>
                </c:pt>
                <c:pt idx="343">
                  <c:v>1.1161059478441335</c:v>
                </c:pt>
                <c:pt idx="344">
                  <c:v>1.1175517066116969</c:v>
                </c:pt>
                <c:pt idx="345">
                  <c:v>1.1098782331639567</c:v>
                </c:pt>
                <c:pt idx="346">
                  <c:v>1.1241783341904803</c:v>
                </c:pt>
                <c:pt idx="347">
                  <c:v>1.1296177003292347</c:v>
                </c:pt>
                <c:pt idx="348">
                  <c:v>1.1286199630816043</c:v>
                </c:pt>
                <c:pt idx="349">
                  <c:v>1.1300126136502491</c:v>
                </c:pt>
                <c:pt idx="350">
                  <c:v>1.1157423826632864</c:v>
                </c:pt>
                <c:pt idx="351">
                  <c:v>1.0974811411759466</c:v>
                </c:pt>
                <c:pt idx="352">
                  <c:v>1.0809200971082857</c:v>
                </c:pt>
                <c:pt idx="353">
                  <c:v>1.0379369155228613</c:v>
                </c:pt>
                <c:pt idx="354">
                  <c:v>1.0397671642177264</c:v>
                </c:pt>
                <c:pt idx="355">
                  <c:v>1.0602479869743848</c:v>
                </c:pt>
                <c:pt idx="356">
                  <c:v>1.0561820883945408</c:v>
                </c:pt>
                <c:pt idx="357">
                  <c:v>1.0517381834697486</c:v>
                </c:pt>
                <c:pt idx="358">
                  <c:v>1.0693602967948221</c:v>
                </c:pt>
                <c:pt idx="359">
                  <c:v>1.0680683503365751</c:v>
                </c:pt>
                <c:pt idx="360">
                  <c:v>1.0643088605347435</c:v>
                </c:pt>
                <c:pt idx="361">
                  <c:v>1.0488958725135338</c:v>
                </c:pt>
                <c:pt idx="362">
                  <c:v>1.0362720845549127</c:v>
                </c:pt>
                <c:pt idx="363">
                  <c:v>1.0668861424179088</c:v>
                </c:pt>
                <c:pt idx="364">
                  <c:v>1.0536796955378462</c:v>
                </c:pt>
                <c:pt idx="365">
                  <c:v>1.0562444416986745</c:v>
                </c:pt>
                <c:pt idx="366">
                  <c:v>1.0422985449076445</c:v>
                </c:pt>
                <c:pt idx="367">
                  <c:v>1.0176151763377876</c:v>
                </c:pt>
                <c:pt idx="368">
                  <c:v>1.0282436199670029</c:v>
                </c:pt>
                <c:pt idx="369">
                  <c:v>1.029472365807516</c:v>
                </c:pt>
                <c:pt idx="370">
                  <c:v>0.9936343452978591</c:v>
                </c:pt>
                <c:pt idx="371">
                  <c:v>0.97896245852664632</c:v>
                </c:pt>
                <c:pt idx="372">
                  <c:v>0.94866049164145116</c:v>
                </c:pt>
                <c:pt idx="373">
                  <c:v>0.94866049164145116</c:v>
                </c:pt>
                <c:pt idx="374">
                  <c:v>0.94866049164145116</c:v>
                </c:pt>
                <c:pt idx="375">
                  <c:v>0.94866049164145116</c:v>
                </c:pt>
                <c:pt idx="376">
                  <c:v>0.94866049164145116</c:v>
                </c:pt>
                <c:pt idx="377">
                  <c:v>0.94866049164145116</c:v>
                </c:pt>
                <c:pt idx="378">
                  <c:v>0.94341354724543258</c:v>
                </c:pt>
                <c:pt idx="379">
                  <c:v>0.96294588629531064</c:v>
                </c:pt>
                <c:pt idx="380">
                  <c:v>0.95926562500318679</c:v>
                </c:pt>
                <c:pt idx="381">
                  <c:v>0.97427987302266739</c:v>
                </c:pt>
                <c:pt idx="382">
                  <c:v>0.96466694325073599</c:v>
                </c:pt>
                <c:pt idx="383">
                  <c:v>0.98765930034320992</c:v>
                </c:pt>
                <c:pt idx="384">
                  <c:v>0.9797764873683108</c:v>
                </c:pt>
                <c:pt idx="385">
                  <c:v>0.9613012704136179</c:v>
                </c:pt>
                <c:pt idx="386">
                  <c:v>0.95739634454837841</c:v>
                </c:pt>
                <c:pt idx="387">
                  <c:v>0.97749037937750782</c:v>
                </c:pt>
                <c:pt idx="388">
                  <c:v>0.92890665883318047</c:v>
                </c:pt>
                <c:pt idx="389">
                  <c:v>0.96420790534756629</c:v>
                </c:pt>
                <c:pt idx="390">
                  <c:v>0.99009460934678994</c:v>
                </c:pt>
                <c:pt idx="391">
                  <c:v>0.98892310051807852</c:v>
                </c:pt>
                <c:pt idx="392">
                  <c:v>1.002797291767739</c:v>
                </c:pt>
                <c:pt idx="393">
                  <c:v>0.98189169725832626</c:v>
                </c:pt>
                <c:pt idx="394">
                  <c:v>0.97953553692472273</c:v>
                </c:pt>
                <c:pt idx="395">
                  <c:v>0.97953553692472273</c:v>
                </c:pt>
                <c:pt idx="396">
                  <c:v>0.97953553692472273</c:v>
                </c:pt>
                <c:pt idx="397">
                  <c:v>0.98014653997103007</c:v>
                </c:pt>
                <c:pt idx="398">
                  <c:v>0.99017514623183622</c:v>
                </c:pt>
                <c:pt idx="399">
                  <c:v>0.9974766859500992</c:v>
                </c:pt>
                <c:pt idx="400">
                  <c:v>0.94669143109739373</c:v>
                </c:pt>
                <c:pt idx="401">
                  <c:v>0.89178290944462901</c:v>
                </c:pt>
                <c:pt idx="402">
                  <c:v>0.90459882710710726</c:v>
                </c:pt>
                <c:pt idx="403">
                  <c:v>0.98184199013012274</c:v>
                </c:pt>
                <c:pt idx="404">
                  <c:v>1.0692794477851542</c:v>
                </c:pt>
                <c:pt idx="405">
                  <c:v>1.1117319445897165</c:v>
                </c:pt>
                <c:pt idx="406">
                  <c:v>1.1445271079243566</c:v>
                </c:pt>
                <c:pt idx="407">
                  <c:v>1.1329174948231913</c:v>
                </c:pt>
                <c:pt idx="408">
                  <c:v>1.1942440422177634</c:v>
                </c:pt>
                <c:pt idx="409">
                  <c:v>1.187445335312364</c:v>
                </c:pt>
                <c:pt idx="410">
                  <c:v>1.1838414625485552</c:v>
                </c:pt>
                <c:pt idx="411">
                  <c:v>1.1685093630715198</c:v>
                </c:pt>
                <c:pt idx="412">
                  <c:v>1.1886573963449631</c:v>
                </c:pt>
                <c:pt idx="413">
                  <c:v>1.2068426383527089</c:v>
                </c:pt>
                <c:pt idx="414">
                  <c:v>1.1575423677301204</c:v>
                </c:pt>
                <c:pt idx="415">
                  <c:v>1.1350480561697474</c:v>
                </c:pt>
                <c:pt idx="416">
                  <c:v>1.1437180078859415</c:v>
                </c:pt>
                <c:pt idx="417">
                  <c:v>1.1608324365884966</c:v>
                </c:pt>
                <c:pt idx="418">
                  <c:v>1.124846920705997</c:v>
                </c:pt>
                <c:pt idx="419">
                  <c:v>1.134952337558933</c:v>
                </c:pt>
                <c:pt idx="420">
                  <c:v>1.1460899706611216</c:v>
                </c:pt>
                <c:pt idx="421">
                  <c:v>1.1687620824233278</c:v>
                </c:pt>
                <c:pt idx="422">
                  <c:v>1.1338187295109572</c:v>
                </c:pt>
                <c:pt idx="423">
                  <c:v>1.1504038801974215</c:v>
                </c:pt>
                <c:pt idx="424">
                  <c:v>1.2353849182215968</c:v>
                </c:pt>
                <c:pt idx="425">
                  <c:v>1.2473660128277118</c:v>
                </c:pt>
                <c:pt idx="426">
                  <c:v>1.2242415181272936</c:v>
                </c:pt>
                <c:pt idx="427">
                  <c:v>1.2222227048840182</c:v>
                </c:pt>
                <c:pt idx="428">
                  <c:v>1.2150242250399375</c:v>
                </c:pt>
                <c:pt idx="429">
                  <c:v>1.2067770280514543</c:v>
                </c:pt>
                <c:pt idx="430">
                  <c:v>1.1717482123148195</c:v>
                </c:pt>
                <c:pt idx="431">
                  <c:v>1.1667203204912142</c:v>
                </c:pt>
                <c:pt idx="432">
                  <c:v>1.1980181250407824</c:v>
                </c:pt>
                <c:pt idx="433">
                  <c:v>1.2086708317402985</c:v>
                </c:pt>
                <c:pt idx="434">
                  <c:v>1.1839544597360732</c:v>
                </c:pt>
                <c:pt idx="435">
                  <c:v>1.13951138422531</c:v>
                </c:pt>
                <c:pt idx="436">
                  <c:v>1.0823359483280428</c:v>
                </c:pt>
                <c:pt idx="437">
                  <c:v>1.1406319559473381</c:v>
                </c:pt>
                <c:pt idx="438">
                  <c:v>1.1538387638353882</c:v>
                </c:pt>
                <c:pt idx="439">
                  <c:v>1.1896853968162353</c:v>
                </c:pt>
                <c:pt idx="440">
                  <c:v>1.2252454711058047</c:v>
                </c:pt>
                <c:pt idx="441">
                  <c:v>1.2775499697590087</c:v>
                </c:pt>
                <c:pt idx="442">
                  <c:v>1.2202435551594948</c:v>
                </c:pt>
                <c:pt idx="443">
                  <c:v>1.2537672094147876</c:v>
                </c:pt>
                <c:pt idx="444">
                  <c:v>1.3277490286899156</c:v>
                </c:pt>
                <c:pt idx="445">
                  <c:v>1.362710670369673</c:v>
                </c:pt>
                <c:pt idx="446">
                  <c:v>1.3375783529593965</c:v>
                </c:pt>
                <c:pt idx="447">
                  <c:v>1.3154528285581111</c:v>
                </c:pt>
                <c:pt idx="448">
                  <c:v>1.3154528285581111</c:v>
                </c:pt>
                <c:pt idx="449">
                  <c:v>1.3801627409600608</c:v>
                </c:pt>
                <c:pt idx="450">
                  <c:v>1.4165346578984925</c:v>
                </c:pt>
                <c:pt idx="451">
                  <c:v>1.4003163058644574</c:v>
                </c:pt>
                <c:pt idx="452">
                  <c:v>1.4348516905127404</c:v>
                </c:pt>
                <c:pt idx="453">
                  <c:v>1.4546996264720269</c:v>
                </c:pt>
                <c:pt idx="454">
                  <c:v>1.4470166828904061</c:v>
                </c:pt>
                <c:pt idx="455">
                  <c:v>1.4437272978955851</c:v>
                </c:pt>
                <c:pt idx="456">
                  <c:v>1.4454511376947923</c:v>
                </c:pt>
                <c:pt idx="457">
                  <c:v>1.4483033421817715</c:v>
                </c:pt>
                <c:pt idx="458">
                  <c:v>1.4275844677176179</c:v>
                </c:pt>
                <c:pt idx="459">
                  <c:v>1.4121578328302675</c:v>
                </c:pt>
                <c:pt idx="460">
                  <c:v>1.4066601359813191</c:v>
                </c:pt>
                <c:pt idx="461">
                  <c:v>1.4049948270859502</c:v>
                </c:pt>
                <c:pt idx="462">
                  <c:v>1.3884998204401873</c:v>
                </c:pt>
                <c:pt idx="463">
                  <c:v>1.3423258697228637</c:v>
                </c:pt>
                <c:pt idx="464">
                  <c:v>1.3416395015694431</c:v>
                </c:pt>
                <c:pt idx="465">
                  <c:v>1.4083289931418466</c:v>
                </c:pt>
                <c:pt idx="466">
                  <c:v>1.4008359853166472</c:v>
                </c:pt>
                <c:pt idx="467">
                  <c:v>1.3475900601794479</c:v>
                </c:pt>
                <c:pt idx="468">
                  <c:v>1.3197397710054695</c:v>
                </c:pt>
                <c:pt idx="469">
                  <c:v>1.2994310076829572</c:v>
                </c:pt>
                <c:pt idx="470">
                  <c:v>1.2925691019808703</c:v>
                </c:pt>
                <c:pt idx="471">
                  <c:v>1.2617039498329561</c:v>
                </c:pt>
                <c:pt idx="472">
                  <c:v>1.2676809440698964</c:v>
                </c:pt>
                <c:pt idx="473">
                  <c:v>1.2839469309589031</c:v>
                </c:pt>
                <c:pt idx="474">
                  <c:v>1.2829281226248099</c:v>
                </c:pt>
                <c:pt idx="475">
                  <c:v>1.2878795515049548</c:v>
                </c:pt>
                <c:pt idx="476">
                  <c:v>1.2716178157859384</c:v>
                </c:pt>
                <c:pt idx="477">
                  <c:v>1.241595459371839</c:v>
                </c:pt>
                <c:pt idx="478">
                  <c:v>1.2196652182088026</c:v>
                </c:pt>
                <c:pt idx="479">
                  <c:v>1.2483603455378436</c:v>
                </c:pt>
                <c:pt idx="480">
                  <c:v>1.2634189936690956</c:v>
                </c:pt>
                <c:pt idx="481">
                  <c:v>1.3034137534152808</c:v>
                </c:pt>
                <c:pt idx="482">
                  <c:v>1.2963331914112963</c:v>
                </c:pt>
                <c:pt idx="483">
                  <c:v>1.2963331914112963</c:v>
                </c:pt>
                <c:pt idx="484">
                  <c:v>1.3039677052554297</c:v>
                </c:pt>
                <c:pt idx="485">
                  <c:v>1.3032158078376312</c:v>
                </c:pt>
                <c:pt idx="486">
                  <c:v>1.3124333382199449</c:v>
                </c:pt>
                <c:pt idx="487">
                  <c:v>1.2859283754793753</c:v>
                </c:pt>
                <c:pt idx="488">
                  <c:v>1.2900505369153734</c:v>
                </c:pt>
                <c:pt idx="489">
                  <c:v>1.287203491865994</c:v>
                </c:pt>
                <c:pt idx="490">
                  <c:v>1.2613724264060777</c:v>
                </c:pt>
                <c:pt idx="491">
                  <c:v>1.2440421022496917</c:v>
                </c:pt>
                <c:pt idx="492">
                  <c:v>1.2603091056007263</c:v>
                </c:pt>
                <c:pt idx="493">
                  <c:v>1.2393694261320105</c:v>
                </c:pt>
                <c:pt idx="494">
                  <c:v>1.209885573850773</c:v>
                </c:pt>
                <c:pt idx="495">
                  <c:v>1.2210575456820703</c:v>
                </c:pt>
                <c:pt idx="496">
                  <c:v>1.2168896884192257</c:v>
                </c:pt>
                <c:pt idx="497">
                  <c:v>1.1960129194100779</c:v>
                </c:pt>
                <c:pt idx="498">
                  <c:v>1.1785328008243185</c:v>
                </c:pt>
                <c:pt idx="499">
                  <c:v>1.1878161474250093</c:v>
                </c:pt>
                <c:pt idx="500">
                  <c:v>1.1802706933104146</c:v>
                </c:pt>
                <c:pt idx="501">
                  <c:v>1.1441936024293984</c:v>
                </c:pt>
                <c:pt idx="502">
                  <c:v>1.1441936024293984</c:v>
                </c:pt>
                <c:pt idx="503">
                  <c:v>1.1396909934821142</c:v>
                </c:pt>
                <c:pt idx="504">
                  <c:v>1.1232561284698908</c:v>
                </c:pt>
                <c:pt idx="505">
                  <c:v>1.1325905732129091</c:v>
                </c:pt>
                <c:pt idx="506">
                  <c:v>1.1054026990555323</c:v>
                </c:pt>
                <c:pt idx="507">
                  <c:v>1.1038938789655237</c:v>
                </c:pt>
                <c:pt idx="508">
                  <c:v>1.0980405544713912</c:v>
                </c:pt>
                <c:pt idx="509">
                  <c:v>1.1072149533591089</c:v>
                </c:pt>
                <c:pt idx="510">
                  <c:v>1.103876869658599</c:v>
                </c:pt>
                <c:pt idx="511">
                  <c:v>1.0867238060055744</c:v>
                </c:pt>
                <c:pt idx="512">
                  <c:v>1.0784051264516759</c:v>
                </c:pt>
                <c:pt idx="513">
                  <c:v>1.0715041180251941</c:v>
                </c:pt>
                <c:pt idx="514">
                  <c:v>1.0468878925687655</c:v>
                </c:pt>
                <c:pt idx="515">
                  <c:v>1.0293179484026722</c:v>
                </c:pt>
                <c:pt idx="516">
                  <c:v>1.0069301413701286</c:v>
                </c:pt>
                <c:pt idx="517">
                  <c:v>0.99925997008895862</c:v>
                </c:pt>
                <c:pt idx="518">
                  <c:v>0.98163715179175082</c:v>
                </c:pt>
                <c:pt idx="519">
                  <c:v>0.9808862178483746</c:v>
                </c:pt>
                <c:pt idx="520">
                  <c:v>0.98511863788425869</c:v>
                </c:pt>
                <c:pt idx="521">
                  <c:v>0.9669136005605492</c:v>
                </c:pt>
                <c:pt idx="522">
                  <c:v>0.96775450816339248</c:v>
                </c:pt>
                <c:pt idx="523">
                  <c:v>0.9767029740617108</c:v>
                </c:pt>
                <c:pt idx="524">
                  <c:v>0.97128392529319463</c:v>
                </c:pt>
                <c:pt idx="525">
                  <c:v>0.99306275468330152</c:v>
                </c:pt>
                <c:pt idx="526">
                  <c:v>0.98608120659803422</c:v>
                </c:pt>
                <c:pt idx="527">
                  <c:v>0.98407652322770356</c:v>
                </c:pt>
                <c:pt idx="528">
                  <c:v>0.96249792004841028</c:v>
                </c:pt>
                <c:pt idx="529">
                  <c:v>0.96893475914627225</c:v>
                </c:pt>
                <c:pt idx="530">
                  <c:v>0.96893475914627225</c:v>
                </c:pt>
                <c:pt idx="531">
                  <c:v>0.96893475914627225</c:v>
                </c:pt>
                <c:pt idx="532">
                  <c:v>0.96893475914627225</c:v>
                </c:pt>
                <c:pt idx="533">
                  <c:v>0.96893475914627225</c:v>
                </c:pt>
                <c:pt idx="534">
                  <c:v>0.96893475914627225</c:v>
                </c:pt>
                <c:pt idx="535">
                  <c:v>0.9577248079529781</c:v>
                </c:pt>
                <c:pt idx="536">
                  <c:v>0.94713882050124676</c:v>
                </c:pt>
                <c:pt idx="537">
                  <c:v>0.94285467689364988</c:v>
                </c:pt>
                <c:pt idx="538">
                  <c:v>0.93783928982185794</c:v>
                </c:pt>
                <c:pt idx="539">
                  <c:v>0.92204498333344609</c:v>
                </c:pt>
                <c:pt idx="540">
                  <c:v>0.91623239490398345</c:v>
                </c:pt>
                <c:pt idx="541">
                  <c:v>0.93447700456798843</c:v>
                </c:pt>
                <c:pt idx="542">
                  <c:v>0.94758584111950594</c:v>
                </c:pt>
                <c:pt idx="543">
                  <c:v>0.95444576634845402</c:v>
                </c:pt>
                <c:pt idx="544">
                  <c:v>0.93054646300362842</c:v>
                </c:pt>
                <c:pt idx="545">
                  <c:v>0.95671568295597265</c:v>
                </c:pt>
                <c:pt idx="546">
                  <c:v>0.97372354487527701</c:v>
                </c:pt>
                <c:pt idx="547">
                  <c:v>0.98664119085444879</c:v>
                </c:pt>
                <c:pt idx="548">
                  <c:v>1.001734763687339</c:v>
                </c:pt>
                <c:pt idx="549">
                  <c:v>1.0091910553818049</c:v>
                </c:pt>
                <c:pt idx="550">
                  <c:v>1.0028373785251379</c:v>
                </c:pt>
                <c:pt idx="551">
                  <c:v>1.0040510573390038</c:v>
                </c:pt>
                <c:pt idx="552">
                  <c:v>0.99801673424013537</c:v>
                </c:pt>
                <c:pt idx="553">
                  <c:v>0.94990947231138589</c:v>
                </c:pt>
                <c:pt idx="554">
                  <c:v>1.0096783542324372</c:v>
                </c:pt>
                <c:pt idx="555">
                  <c:v>1.0023825769163128</c:v>
                </c:pt>
                <c:pt idx="556">
                  <c:v>0.96492501378050544</c:v>
                </c:pt>
                <c:pt idx="557">
                  <c:v>0.96833870508923225</c:v>
                </c:pt>
                <c:pt idx="558">
                  <c:v>0.96663084573848401</c:v>
                </c:pt>
                <c:pt idx="559">
                  <c:v>0.98264325180365142</c:v>
                </c:pt>
                <c:pt idx="560">
                  <c:v>0.98436271851636015</c:v>
                </c:pt>
                <c:pt idx="561">
                  <c:v>1.0083784288166839</c:v>
                </c:pt>
                <c:pt idx="562">
                  <c:v>1.0014518446280607</c:v>
                </c:pt>
                <c:pt idx="563">
                  <c:v>1</c:v>
                </c:pt>
                <c:pt idx="56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187888"/>
        <c:axId val="551188280"/>
      </c:lineChart>
      <c:dateAx>
        <c:axId val="551187888"/>
        <c:scaling>
          <c:orientation val="minMax"/>
          <c:min val="42004"/>
        </c:scaling>
        <c:delete val="0"/>
        <c:axPos val="b"/>
        <c:numFmt formatCode="[$-41B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51188280"/>
        <c:crosses val="autoZero"/>
        <c:auto val="0"/>
        <c:lblOffset val="100"/>
        <c:baseTimeUnit val="days"/>
        <c:majorUnit val="2"/>
        <c:majorTimeUnit val="months"/>
      </c:dateAx>
      <c:valAx>
        <c:axId val="551188280"/>
        <c:scaling>
          <c:orientation val="minMax"/>
          <c:max val="1.5"/>
          <c:min val="0.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5118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192085306679841"/>
          <c:y val="4.9272256767735355E-2"/>
          <c:w val="0.40836802376447129"/>
          <c:h val="0.2157438624847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'Grafy 7 a 8'!$J$13</c:f>
              <c:strCache>
                <c:ptCount val="1"/>
                <c:pt idx="0">
                  <c:v>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8'!$K$13:$R$13</c:f>
              <c:numCache>
                <c:formatCode>0.0</c:formatCode>
                <c:ptCount val="8"/>
                <c:pt idx="0">
                  <c:v>1.4762249463029209</c:v>
                </c:pt>
                <c:pt idx="1">
                  <c:v>2.1748210618793546</c:v>
                </c:pt>
                <c:pt idx="2">
                  <c:v>2.3229578600539305</c:v>
                </c:pt>
                <c:pt idx="3">
                  <c:v>2.5536884076502795</c:v>
                </c:pt>
                <c:pt idx="4">
                  <c:v>2.0885274582816367</c:v>
                </c:pt>
                <c:pt idx="5">
                  <c:v>2.108372616810029</c:v>
                </c:pt>
                <c:pt idx="6">
                  <c:v>1.6222966796540002</c:v>
                </c:pt>
                <c:pt idx="7">
                  <c:v>1.4372120883939796</c:v>
                </c:pt>
              </c:numCache>
            </c:numRef>
          </c:val>
        </c:ser>
        <c:ser>
          <c:idx val="8"/>
          <c:order val="1"/>
          <c:tx>
            <c:strRef>
              <c:f>'Grafy 7 a 8'!$J$14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8'!$K$14:$R$14</c:f>
              <c:numCache>
                <c:formatCode>0.0</c:formatCode>
                <c:ptCount val="8"/>
                <c:pt idx="0">
                  <c:v>1.2797739813198319</c:v>
                </c:pt>
                <c:pt idx="1">
                  <c:v>2.8880821652489197</c:v>
                </c:pt>
                <c:pt idx="2">
                  <c:v>4.3049185740226381</c:v>
                </c:pt>
                <c:pt idx="3">
                  <c:v>5.3149846929950213</c:v>
                </c:pt>
                <c:pt idx="4">
                  <c:v>0.32920824541514926</c:v>
                </c:pt>
                <c:pt idx="5">
                  <c:v>-0.24961152439997644</c:v>
                </c:pt>
                <c:pt idx="6">
                  <c:v>-4.1275026546234583</c:v>
                </c:pt>
                <c:pt idx="7">
                  <c:v>-4.2326448569124597</c:v>
                </c:pt>
              </c:numCache>
            </c:numRef>
          </c:val>
        </c:ser>
        <c:ser>
          <c:idx val="0"/>
          <c:order val="2"/>
          <c:tx>
            <c:strRef>
              <c:f>'Grafy 7 a 8'!$J$15</c:f>
              <c:strCache>
                <c:ptCount val="1"/>
                <c:pt idx="0">
                  <c:v>Zásoby a diskrepancia</c:v>
                </c:pt>
              </c:strCache>
            </c:strRef>
          </c:tx>
          <c:invertIfNegative val="0"/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8'!$K$15:$R$15</c:f>
              <c:numCache>
                <c:formatCode>0.0</c:formatCode>
                <c:ptCount val="8"/>
                <c:pt idx="0">
                  <c:v>-0.31279244405017048</c:v>
                </c:pt>
                <c:pt idx="1">
                  <c:v>-0.91926428916606595</c:v>
                </c:pt>
                <c:pt idx="2">
                  <c:v>-1.1039085532814206</c:v>
                </c:pt>
                <c:pt idx="3">
                  <c:v>-2.7036165669638383</c:v>
                </c:pt>
                <c:pt idx="4">
                  <c:v>0.91317608881791379</c:v>
                </c:pt>
                <c:pt idx="5">
                  <c:v>-0.26135490924111315</c:v>
                </c:pt>
                <c:pt idx="6">
                  <c:v>2.1282670907370096</c:v>
                </c:pt>
                <c:pt idx="7">
                  <c:v>3.8189051220814525</c:v>
                </c:pt>
              </c:numCache>
            </c:numRef>
          </c:val>
        </c:ser>
        <c:ser>
          <c:idx val="1"/>
          <c:order val="3"/>
          <c:tx>
            <c:strRef>
              <c:f>'Grafy 7 a 8'!$J$16</c:f>
              <c:strCache>
                <c:ptCount val="1"/>
                <c:pt idx="0">
                  <c:v>Čistý export</c:v>
                </c:pt>
              </c:strCache>
            </c:strRef>
          </c:tx>
          <c:invertIfNegative val="0"/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8'!$K$16:$R$16</c:f>
              <c:numCache>
                <c:formatCode>0.0</c:formatCode>
                <c:ptCount val="8"/>
                <c:pt idx="0">
                  <c:v>0.7354734474160104</c:v>
                </c:pt>
                <c:pt idx="1">
                  <c:v>-0.53358130569578044</c:v>
                </c:pt>
                <c:pt idx="2">
                  <c:v>-1.6510478717342496</c:v>
                </c:pt>
                <c:pt idx="3">
                  <c:v>-0.57897985961008047</c:v>
                </c:pt>
                <c:pt idx="4">
                  <c:v>5.4147071755196743E-2</c:v>
                </c:pt>
                <c:pt idx="5">
                  <c:v>2.2223630748748087</c:v>
                </c:pt>
                <c:pt idx="6">
                  <c:v>3.3312970573981651</c:v>
                </c:pt>
                <c:pt idx="7">
                  <c:v>1.9973931622506249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0520832"/>
        <c:axId val="550521224"/>
      </c:barChart>
      <c:lineChart>
        <c:grouping val="standard"/>
        <c:varyColors val="0"/>
        <c:ser>
          <c:idx val="2"/>
          <c:order val="4"/>
          <c:tx>
            <c:strRef>
              <c:f>'Grafy 7 a 8'!$J$17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8'!$K$17:$R$17</c:f>
              <c:numCache>
                <c:formatCode>0.0</c:formatCode>
                <c:ptCount val="8"/>
                <c:pt idx="0">
                  <c:v>3.1786799309885927</c:v>
                </c:pt>
                <c:pt idx="1">
                  <c:v>3.610057632266428</c:v>
                </c:pt>
                <c:pt idx="2">
                  <c:v>3.8729200090608984</c:v>
                </c:pt>
                <c:pt idx="3">
                  <c:v>4.5860766740713821</c:v>
                </c:pt>
                <c:pt idx="4">
                  <c:v>3.3850588642698964</c:v>
                </c:pt>
                <c:pt idx="5">
                  <c:v>3.8197692580437481</c:v>
                </c:pt>
                <c:pt idx="6">
                  <c:v>2.9543581731657165</c:v>
                </c:pt>
                <c:pt idx="7">
                  <c:v>3.0208655158135977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520832"/>
        <c:axId val="550521224"/>
      </c:lineChart>
      <c:catAx>
        <c:axId val="5505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sk-SK"/>
          </a:p>
        </c:txPr>
        <c:crossAx val="550521224"/>
        <c:crosses val="autoZero"/>
        <c:auto val="1"/>
        <c:lblAlgn val="ctr"/>
        <c:lblOffset val="100"/>
        <c:noMultiLvlLbl val="0"/>
      </c:catAx>
      <c:valAx>
        <c:axId val="55052122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55052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078880604136694"/>
          <c:y val="2.2580115993565322E-2"/>
          <c:w val="0.86860603092347277"/>
          <c:h val="0.21218884937769877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'Grafy 7 a 8'!$J$31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8'!$K$13:$R$13</c:f>
              <c:numCache>
                <c:formatCode>0.0</c:formatCode>
                <c:ptCount val="8"/>
                <c:pt idx="0">
                  <c:v>1.4762249463029209</c:v>
                </c:pt>
                <c:pt idx="1">
                  <c:v>2.1748210618793546</c:v>
                </c:pt>
                <c:pt idx="2">
                  <c:v>2.3229578600539305</c:v>
                </c:pt>
                <c:pt idx="3">
                  <c:v>2.5536884076502795</c:v>
                </c:pt>
                <c:pt idx="4">
                  <c:v>2.0885274582816367</c:v>
                </c:pt>
                <c:pt idx="5">
                  <c:v>2.108372616810029</c:v>
                </c:pt>
                <c:pt idx="6">
                  <c:v>1.6222966796540002</c:v>
                </c:pt>
                <c:pt idx="7">
                  <c:v>1.4372120883939796</c:v>
                </c:pt>
              </c:numCache>
            </c:numRef>
          </c:val>
        </c:ser>
        <c:ser>
          <c:idx val="8"/>
          <c:order val="1"/>
          <c:tx>
            <c:strRef>
              <c:f>'Grafy 7 a 8'!$J$32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8'!$K$14:$R$14</c:f>
              <c:numCache>
                <c:formatCode>0.0</c:formatCode>
                <c:ptCount val="8"/>
                <c:pt idx="0">
                  <c:v>1.2797739813198319</c:v>
                </c:pt>
                <c:pt idx="1">
                  <c:v>2.8880821652489197</c:v>
                </c:pt>
                <c:pt idx="2">
                  <c:v>4.3049185740226381</c:v>
                </c:pt>
                <c:pt idx="3">
                  <c:v>5.3149846929950213</c:v>
                </c:pt>
                <c:pt idx="4">
                  <c:v>0.32920824541514926</c:v>
                </c:pt>
                <c:pt idx="5">
                  <c:v>-0.24961152439997644</c:v>
                </c:pt>
                <c:pt idx="6">
                  <c:v>-4.1275026546234583</c:v>
                </c:pt>
                <c:pt idx="7">
                  <c:v>-4.2326448569124597</c:v>
                </c:pt>
              </c:numCache>
            </c:numRef>
          </c:val>
        </c:ser>
        <c:ser>
          <c:idx val="0"/>
          <c:order val="2"/>
          <c:tx>
            <c:strRef>
              <c:f>'Grafy 7 a 8'!$J$33</c:f>
              <c:strCache>
                <c:ptCount val="1"/>
                <c:pt idx="0">
                  <c:v>Inventories and disc.</c:v>
                </c:pt>
              </c:strCache>
            </c:strRef>
          </c:tx>
          <c:invertIfNegative val="0"/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8'!$K$15:$R$15</c:f>
              <c:numCache>
                <c:formatCode>0.0</c:formatCode>
                <c:ptCount val="8"/>
                <c:pt idx="0">
                  <c:v>-0.31279244405017048</c:v>
                </c:pt>
                <c:pt idx="1">
                  <c:v>-0.91926428916606595</c:v>
                </c:pt>
                <c:pt idx="2">
                  <c:v>-1.1039085532814206</c:v>
                </c:pt>
                <c:pt idx="3">
                  <c:v>-2.7036165669638383</c:v>
                </c:pt>
                <c:pt idx="4">
                  <c:v>0.91317608881791379</c:v>
                </c:pt>
                <c:pt idx="5">
                  <c:v>-0.26135490924111315</c:v>
                </c:pt>
                <c:pt idx="6">
                  <c:v>2.1282670907370096</c:v>
                </c:pt>
                <c:pt idx="7">
                  <c:v>3.8189051220814525</c:v>
                </c:pt>
              </c:numCache>
            </c:numRef>
          </c:val>
        </c:ser>
        <c:ser>
          <c:idx val="1"/>
          <c:order val="3"/>
          <c:tx>
            <c:strRef>
              <c:f>'Grafy 7 a 8'!$J$34</c:f>
              <c:strCache>
                <c:ptCount val="1"/>
                <c:pt idx="0">
                  <c:v>Net export</c:v>
                </c:pt>
              </c:strCache>
            </c:strRef>
          </c:tx>
          <c:invertIfNegative val="0"/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8'!$K$16:$R$16</c:f>
              <c:numCache>
                <c:formatCode>0.0</c:formatCode>
                <c:ptCount val="8"/>
                <c:pt idx="0">
                  <c:v>0.7354734474160104</c:v>
                </c:pt>
                <c:pt idx="1">
                  <c:v>-0.53358130569578044</c:v>
                </c:pt>
                <c:pt idx="2">
                  <c:v>-1.6510478717342496</c:v>
                </c:pt>
                <c:pt idx="3">
                  <c:v>-0.57897985961008047</c:v>
                </c:pt>
                <c:pt idx="4">
                  <c:v>5.4147071755196743E-2</c:v>
                </c:pt>
                <c:pt idx="5">
                  <c:v>2.2223630748748087</c:v>
                </c:pt>
                <c:pt idx="6">
                  <c:v>3.3312970573981651</c:v>
                </c:pt>
                <c:pt idx="7">
                  <c:v>1.9973931622506249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0522008"/>
        <c:axId val="435427960"/>
      </c:barChart>
      <c:lineChart>
        <c:grouping val="standard"/>
        <c:varyColors val="0"/>
        <c:ser>
          <c:idx val="2"/>
          <c:order val="4"/>
          <c:tx>
            <c:strRef>
              <c:f>'Grafy 7 a 8'!$J$35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8'!$K$17:$R$17</c:f>
              <c:numCache>
                <c:formatCode>0.0</c:formatCode>
                <c:ptCount val="8"/>
                <c:pt idx="0">
                  <c:v>3.1786799309885927</c:v>
                </c:pt>
                <c:pt idx="1">
                  <c:v>3.610057632266428</c:v>
                </c:pt>
                <c:pt idx="2">
                  <c:v>3.8729200090608984</c:v>
                </c:pt>
                <c:pt idx="3">
                  <c:v>4.5860766740713821</c:v>
                </c:pt>
                <c:pt idx="4">
                  <c:v>3.3850588642698964</c:v>
                </c:pt>
                <c:pt idx="5">
                  <c:v>3.8197692580437481</c:v>
                </c:pt>
                <c:pt idx="6">
                  <c:v>2.9543581731657165</c:v>
                </c:pt>
                <c:pt idx="7">
                  <c:v>3.0208655158135977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522008"/>
        <c:axId val="435427960"/>
      </c:lineChart>
      <c:catAx>
        <c:axId val="55052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sk-SK"/>
          </a:p>
        </c:txPr>
        <c:crossAx val="435427960"/>
        <c:crosses val="autoZero"/>
        <c:auto val="1"/>
        <c:lblAlgn val="ctr"/>
        <c:lblOffset val="100"/>
        <c:noMultiLvlLbl val="0"/>
      </c:catAx>
      <c:valAx>
        <c:axId val="43542796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550522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078880604136694"/>
          <c:y val="2.2580115993565322E-2"/>
          <c:w val="0.86860603092347277"/>
          <c:h val="0.21218884937769877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'Grafy 7 a 8'!$J$6</c:f>
              <c:strCache>
                <c:ptCount val="1"/>
                <c:pt idx="0">
                  <c:v>Súkromné jadrové investície 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'Grafy 7 a 8'!$K$3:$P$3</c:f>
              <c:numCache>
                <c:formatCode>#\ ?/?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'Grafy 7 a 8'!$K$6:$P$6</c:f>
              <c:numCache>
                <c:formatCode>0.0</c:formatCode>
                <c:ptCount val="6"/>
                <c:pt idx="0">
                  <c:v>3.363646915282906</c:v>
                </c:pt>
                <c:pt idx="1">
                  <c:v>1.9541824720735339</c:v>
                </c:pt>
                <c:pt idx="2">
                  <c:v>-2.8762429410462165</c:v>
                </c:pt>
                <c:pt idx="3">
                  <c:v>4.3818936729722893</c:v>
                </c:pt>
                <c:pt idx="4">
                  <c:v>3.8719560283515531</c:v>
                </c:pt>
                <c:pt idx="5">
                  <c:v>5.334407257524</c:v>
                </c:pt>
              </c:numCache>
            </c:numRef>
          </c:val>
        </c:ser>
        <c:ser>
          <c:idx val="8"/>
          <c:order val="1"/>
          <c:tx>
            <c:strRef>
              <c:f>'Grafy 7 a 8'!$J$8</c:f>
              <c:strCache>
                <c:ptCount val="1"/>
                <c:pt idx="0">
                  <c:v>VW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'Grafy 7 a 8'!$K$3:$P$3</c:f>
              <c:numCache>
                <c:formatCode>#\ ?/?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'Grafy 7 a 8'!$K$8:$P$8</c:f>
              <c:numCache>
                <c:formatCode>0.0</c:formatCode>
                <c:ptCount val="6"/>
                <c:pt idx="0">
                  <c:v>1.0583985897179067</c:v>
                </c:pt>
                <c:pt idx="1">
                  <c:v>0.67557100765547129</c:v>
                </c:pt>
                <c:pt idx="2">
                  <c:v>0.73254688580084226</c:v>
                </c:pt>
                <c:pt idx="3">
                  <c:v>-3.2485943829693475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'Grafy 7 a 8'!$J$7</c:f>
              <c:strCache>
                <c:ptCount val="1"/>
                <c:pt idx="0">
                  <c:v>Verejné investície</c:v>
                </c:pt>
              </c:strCache>
            </c:strRef>
          </c:tx>
          <c:invertIfNegative val="0"/>
          <c:cat>
            <c:numRef>
              <c:f>'Grafy 7 a 8'!$K$3:$P$3</c:f>
              <c:numCache>
                <c:formatCode>#\ ?/?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'Grafy 7 a 8'!$K$7:$P$7</c:f>
              <c:numCache>
                <c:formatCode>0.0</c:formatCode>
                <c:ptCount val="6"/>
                <c:pt idx="0">
                  <c:v>12.437699183717744</c:v>
                </c:pt>
                <c:pt idx="1">
                  <c:v>-12.160549152790448</c:v>
                </c:pt>
                <c:pt idx="2">
                  <c:v>2.3196110128125729</c:v>
                </c:pt>
                <c:pt idx="3">
                  <c:v>-1.0831425204839096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'Grafy 7 a 8'!$J$9</c:f>
              <c:strCache>
                <c:ptCount val="1"/>
                <c:pt idx="0">
                  <c:v>JLR</c:v>
                </c:pt>
              </c:strCache>
            </c:strRef>
          </c:tx>
          <c:invertIfNegative val="0"/>
          <c:cat>
            <c:numRef>
              <c:f>'Grafy 7 a 8'!$K$3:$P$3</c:f>
              <c:numCache>
                <c:formatCode>#\ ?/?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'Grafy 7 a 8'!$K$9:$P$9</c:f>
              <c:numCache>
                <c:formatCode>0.0</c:formatCode>
                <c:ptCount val="6"/>
                <c:pt idx="0">
                  <c:v>0</c:v>
                </c:pt>
                <c:pt idx="1">
                  <c:v>0.27782168784451572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5"/>
          <c:tx>
            <c:strRef>
              <c:f>'Grafy 7 a 8'!$J$10</c:f>
              <c:strCache>
                <c:ptCount val="1"/>
                <c:pt idx="0">
                  <c:v>D4R7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val>
            <c:numRef>
              <c:f>'Grafy 7 a 8'!$K$10:$P$10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428744"/>
        <c:axId val="435429136"/>
      </c:barChart>
      <c:lineChart>
        <c:grouping val="standard"/>
        <c:varyColors val="0"/>
        <c:ser>
          <c:idx val="2"/>
          <c:order val="4"/>
          <c:tx>
            <c:strRef>
              <c:f>'Grafy 7 a 8'!$J$4</c:f>
              <c:strCache>
                <c:ptCount val="1"/>
                <c:pt idx="0">
                  <c:v>Investície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8'!$K$4:$P$4</c:f>
              <c:numCache>
                <c:formatCode>0.0</c:formatCode>
                <c:ptCount val="6"/>
                <c:pt idx="0">
                  <c:v>16.859885351159399</c:v>
                </c:pt>
                <c:pt idx="1">
                  <c:v>-9.2529739852169293</c:v>
                </c:pt>
                <c:pt idx="2">
                  <c:v>3.0211065920432656</c:v>
                </c:pt>
                <c:pt idx="3">
                  <c:v>1.8941852903703316</c:v>
                </c:pt>
                <c:pt idx="4">
                  <c:v>1.9802958372091561</c:v>
                </c:pt>
                <c:pt idx="5">
                  <c:v>3.5975888672075795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28744"/>
        <c:axId val="435429136"/>
      </c:lineChart>
      <c:catAx>
        <c:axId val="435428744"/>
        <c:scaling>
          <c:orientation val="minMax"/>
        </c:scaling>
        <c:delete val="0"/>
        <c:axPos val="b"/>
        <c:numFmt formatCode="#\ ?/?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sk-SK"/>
          </a:p>
        </c:txPr>
        <c:crossAx val="435429136"/>
        <c:crosses val="autoZero"/>
        <c:auto val="1"/>
        <c:lblAlgn val="ctr"/>
        <c:lblOffset val="100"/>
        <c:noMultiLvlLbl val="0"/>
      </c:catAx>
      <c:valAx>
        <c:axId val="43542913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435428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078880604136694"/>
          <c:y val="2.2580115993565322E-2"/>
          <c:w val="0.86860603092347277"/>
          <c:h val="0.3319734991783057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'Grafy 7 a 8'!$J$24</c:f>
              <c:strCache>
                <c:ptCount val="1"/>
                <c:pt idx="0">
                  <c:v>Private core investments*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'Grafy 7 a 8'!$K$3:$P$3</c:f>
              <c:numCache>
                <c:formatCode>#\ ?/?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'Grafy 7 a 8'!$K$6:$P$6</c:f>
              <c:numCache>
                <c:formatCode>0.0</c:formatCode>
                <c:ptCount val="6"/>
                <c:pt idx="0">
                  <c:v>3.363646915282906</c:v>
                </c:pt>
                <c:pt idx="1">
                  <c:v>1.9541824720735339</c:v>
                </c:pt>
                <c:pt idx="2">
                  <c:v>-2.8762429410462165</c:v>
                </c:pt>
                <c:pt idx="3">
                  <c:v>4.3818936729722893</c:v>
                </c:pt>
                <c:pt idx="4">
                  <c:v>3.8719560283515531</c:v>
                </c:pt>
                <c:pt idx="5">
                  <c:v>5.334407257524</c:v>
                </c:pt>
              </c:numCache>
            </c:numRef>
          </c:val>
        </c:ser>
        <c:ser>
          <c:idx val="8"/>
          <c:order val="1"/>
          <c:tx>
            <c:strRef>
              <c:f>'Grafy 7 a 8'!$J$8</c:f>
              <c:strCache>
                <c:ptCount val="1"/>
                <c:pt idx="0">
                  <c:v>VW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'Grafy 7 a 8'!$K$3:$P$3</c:f>
              <c:numCache>
                <c:formatCode>#\ ?/?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'Grafy 7 a 8'!$K$8:$P$8</c:f>
              <c:numCache>
                <c:formatCode>0.0</c:formatCode>
                <c:ptCount val="6"/>
                <c:pt idx="0">
                  <c:v>1.0583985897179067</c:v>
                </c:pt>
                <c:pt idx="1">
                  <c:v>0.67557100765547129</c:v>
                </c:pt>
                <c:pt idx="2">
                  <c:v>0.73254688580084226</c:v>
                </c:pt>
                <c:pt idx="3">
                  <c:v>-3.2485943829693475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'Grafy 7 a 8'!$J$25</c:f>
              <c:strCache>
                <c:ptCount val="1"/>
                <c:pt idx="0">
                  <c:v>Public investments</c:v>
                </c:pt>
              </c:strCache>
            </c:strRef>
          </c:tx>
          <c:invertIfNegative val="0"/>
          <c:cat>
            <c:numRef>
              <c:f>'Grafy 7 a 8'!$K$3:$P$3</c:f>
              <c:numCache>
                <c:formatCode>#\ ?/?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'Grafy 7 a 8'!$K$7:$P$7</c:f>
              <c:numCache>
                <c:formatCode>0.0</c:formatCode>
                <c:ptCount val="6"/>
                <c:pt idx="0">
                  <c:v>12.437699183717744</c:v>
                </c:pt>
                <c:pt idx="1">
                  <c:v>-12.160549152790448</c:v>
                </c:pt>
                <c:pt idx="2">
                  <c:v>2.3196110128125729</c:v>
                </c:pt>
                <c:pt idx="3">
                  <c:v>-1.0831425204839096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'Grafy 7 a 8'!$J$9</c:f>
              <c:strCache>
                <c:ptCount val="1"/>
                <c:pt idx="0">
                  <c:v>JLR</c:v>
                </c:pt>
              </c:strCache>
            </c:strRef>
          </c:tx>
          <c:invertIfNegative val="0"/>
          <c:cat>
            <c:numRef>
              <c:f>'Grafy 7 a 8'!$K$3:$P$3</c:f>
              <c:numCache>
                <c:formatCode>#\ ?/?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'Grafy 7 a 8'!$K$9:$P$9</c:f>
              <c:numCache>
                <c:formatCode>0.0</c:formatCode>
                <c:ptCount val="6"/>
                <c:pt idx="0">
                  <c:v>0</c:v>
                </c:pt>
                <c:pt idx="1">
                  <c:v>0.27782168784451572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5"/>
          <c:tx>
            <c:strRef>
              <c:f>'Grafy 7 a 8'!$J$10</c:f>
              <c:strCache>
                <c:ptCount val="1"/>
                <c:pt idx="0">
                  <c:v>D4R7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val>
            <c:numRef>
              <c:f>'Grafy 7 a 8'!$K$10:$P$10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432056"/>
        <c:axId val="435432448"/>
      </c:barChart>
      <c:lineChart>
        <c:grouping val="standard"/>
        <c:varyColors val="0"/>
        <c:ser>
          <c:idx val="2"/>
          <c:order val="4"/>
          <c:tx>
            <c:strRef>
              <c:f>'Grafy 7 a 8'!$J$22</c:f>
              <c:strCache>
                <c:ptCount val="1"/>
                <c:pt idx="0">
                  <c:v>Investments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'Grafy 7 a 8'!$K$12:$R$12</c:f>
              <c:strCache>
                <c:ptCount val="8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</c:strCache>
            </c:strRef>
          </c:cat>
          <c:val>
            <c:numRef>
              <c:f>'Grafy 7 a 8'!$K$4:$P$4</c:f>
              <c:numCache>
                <c:formatCode>0.0</c:formatCode>
                <c:ptCount val="6"/>
                <c:pt idx="0">
                  <c:v>16.859885351159399</c:v>
                </c:pt>
                <c:pt idx="1">
                  <c:v>-9.2529739852169293</c:v>
                </c:pt>
                <c:pt idx="2">
                  <c:v>3.0211065920432656</c:v>
                </c:pt>
                <c:pt idx="3">
                  <c:v>1.8941852903703316</c:v>
                </c:pt>
                <c:pt idx="4">
                  <c:v>1.9802958372091561</c:v>
                </c:pt>
                <c:pt idx="5">
                  <c:v>3.5975888672075795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32056"/>
        <c:axId val="435432448"/>
      </c:lineChart>
      <c:catAx>
        <c:axId val="435432056"/>
        <c:scaling>
          <c:orientation val="minMax"/>
        </c:scaling>
        <c:delete val="0"/>
        <c:axPos val="b"/>
        <c:numFmt formatCode="#\ ?/?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sk-SK"/>
          </a:p>
        </c:txPr>
        <c:crossAx val="435432448"/>
        <c:crosses val="autoZero"/>
        <c:auto val="1"/>
        <c:lblAlgn val="ctr"/>
        <c:lblOffset val="100"/>
        <c:noMultiLvlLbl val="0"/>
      </c:catAx>
      <c:valAx>
        <c:axId val="43543244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435432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078880604136694"/>
          <c:y val="2.2580115993565322E-2"/>
          <c:w val="0.86860603092347277"/>
          <c:h val="0.3319734991783057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36988282481427"/>
          <c:y val="4.2281978903580451E-2"/>
          <c:w val="0.78496046962688815"/>
          <c:h val="0.8132823019764039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B0F0"/>
              </a:solidFill>
              <a:ln>
                <a:noFill/>
              </a:ln>
            </c:spPr>
          </c:marker>
          <c:dPt>
            <c:idx val="0"/>
            <c:bubble3D val="0"/>
          </c:dPt>
          <c:dPt>
            <c:idx val="57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58"/>
            <c:bubble3D val="0"/>
          </c:dPt>
          <c:dPt>
            <c:idx val="68"/>
            <c:bubble3D val="0"/>
          </c:dPt>
          <c:dPt>
            <c:idx val="69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71"/>
            <c:bubble3D val="0"/>
          </c:dPt>
          <c:dPt>
            <c:idx val="73"/>
            <c:bubble3D val="0"/>
          </c:dPt>
          <c:dPt>
            <c:idx val="75"/>
            <c:bubble3D val="0"/>
          </c:dPt>
          <c:dPt>
            <c:idx val="78"/>
            <c:bubble3D val="0"/>
          </c:dPt>
          <c:dPt>
            <c:idx val="79"/>
            <c:bubble3D val="0"/>
          </c:dPt>
          <c:dPt>
            <c:idx val="80"/>
            <c:bubble3D val="0"/>
          </c:dPt>
          <c:dPt>
            <c:idx val="81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82"/>
            <c:bubble3D val="0"/>
          </c:dPt>
          <c:dPt>
            <c:idx val="83"/>
            <c:bubble3D val="0"/>
          </c:dPt>
          <c:dPt>
            <c:idx val="84"/>
            <c:bubble3D val="0"/>
          </c:dPt>
          <c:dPt>
            <c:idx val="86"/>
            <c:bubble3D val="0"/>
          </c:dPt>
          <c:dPt>
            <c:idx val="87"/>
            <c:bubble3D val="0"/>
          </c:dPt>
          <c:dPt>
            <c:idx val="88"/>
            <c:bubble3D val="0"/>
          </c:dPt>
          <c:dPt>
            <c:idx val="89"/>
            <c:bubble3D val="0"/>
          </c:dPt>
          <c:dPt>
            <c:idx val="91"/>
            <c:bubble3D val="0"/>
          </c:dPt>
          <c:dPt>
            <c:idx val="92"/>
            <c:bubble3D val="0"/>
          </c:dPt>
          <c:dPt>
            <c:idx val="93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94"/>
            <c:bubble3D val="0"/>
          </c:dPt>
          <c:dPt>
            <c:idx val="105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106"/>
            <c:marker>
              <c:spPr>
                <a:solidFill>
                  <a:srgbClr val="FF0000"/>
                </a:solidFill>
                <a:ln>
                  <a:noFill/>
                </a:ln>
              </c:spPr>
            </c:marker>
            <c:bubble3D val="0"/>
          </c:dPt>
          <c:xVal>
            <c:numRef>
              <c:f>'Graf 8,9,10 '!$J$14:$J$120</c:f>
              <c:numCache>
                <c:formatCode>0.0</c:formatCode>
                <c:ptCount val="107"/>
                <c:pt idx="0">
                  <c:v>7.2854499610439394</c:v>
                </c:pt>
                <c:pt idx="1">
                  <c:v>7.373225311154644</c:v>
                </c:pt>
                <c:pt idx="2">
                  <c:v>7.579771991792744</c:v>
                </c:pt>
                <c:pt idx="3">
                  <c:v>7.4412449701950614</c:v>
                </c:pt>
                <c:pt idx="4">
                  <c:v>7.4816163168378997</c:v>
                </c:pt>
                <c:pt idx="5">
                  <c:v>7.5340663314516085</c:v>
                </c:pt>
                <c:pt idx="6">
                  <c:v>7.5746076264201889</c:v>
                </c:pt>
                <c:pt idx="7">
                  <c:v>7.7879682671935386</c:v>
                </c:pt>
                <c:pt idx="8">
                  <c:v>8.1270636004221473</c:v>
                </c:pt>
                <c:pt idx="9">
                  <c:v>8.4205650288201923</c:v>
                </c:pt>
                <c:pt idx="10">
                  <c:v>8.7144327117694438</c:v>
                </c:pt>
                <c:pt idx="11">
                  <c:v>9.4041384554652705</c:v>
                </c:pt>
                <c:pt idx="12">
                  <c:v>10.064496638137486</c:v>
                </c:pt>
                <c:pt idx="13">
                  <c:v>10.841666708383318</c:v>
                </c:pt>
                <c:pt idx="14">
                  <c:v>11.519412310915541</c:v>
                </c:pt>
                <c:pt idx="15">
                  <c:v>11.815046521098623</c:v>
                </c:pt>
                <c:pt idx="16">
                  <c:v>12.072940769609923</c:v>
                </c:pt>
                <c:pt idx="17">
                  <c:v>12.242102929270812</c:v>
                </c:pt>
                <c:pt idx="18">
                  <c:v>12.484239619394359</c:v>
                </c:pt>
                <c:pt idx="19">
                  <c:v>12.643118564387612</c:v>
                </c:pt>
                <c:pt idx="20">
                  <c:v>12.710789253239113</c:v>
                </c:pt>
                <c:pt idx="21">
                  <c:v>12.716805992029997</c:v>
                </c:pt>
                <c:pt idx="22">
                  <c:v>12.601328118027007</c:v>
                </c:pt>
                <c:pt idx="23">
                  <c:v>12.62692626291358</c:v>
                </c:pt>
                <c:pt idx="24">
                  <c:v>12.586542137973508</c:v>
                </c:pt>
                <c:pt idx="25">
                  <c:v>12.44410815571001</c:v>
                </c:pt>
                <c:pt idx="26">
                  <c:v>12.380804414170814</c:v>
                </c:pt>
                <c:pt idx="27">
                  <c:v>12.368889073945185</c:v>
                </c:pt>
                <c:pt idx="28">
                  <c:v>12.36875050203261</c:v>
                </c:pt>
                <c:pt idx="29">
                  <c:v>12.403705823151459</c:v>
                </c:pt>
                <c:pt idx="30">
                  <c:v>12.470407204599985</c:v>
                </c:pt>
                <c:pt idx="31">
                  <c:v>12.498544462567656</c:v>
                </c:pt>
                <c:pt idx="32">
                  <c:v>12.475146279198933</c:v>
                </c:pt>
                <c:pt idx="33">
                  <c:v>12.49569093777561</c:v>
                </c:pt>
                <c:pt idx="34">
                  <c:v>12.671207102321965</c:v>
                </c:pt>
                <c:pt idx="35">
                  <c:v>12.784836038317065</c:v>
                </c:pt>
                <c:pt idx="36">
                  <c:v>12.833918047142795</c:v>
                </c:pt>
                <c:pt idx="37">
                  <c:v>12.888044895095833</c:v>
                </c:pt>
                <c:pt idx="38">
                  <c:v>12.996050961834978</c:v>
                </c:pt>
                <c:pt idx="39">
                  <c:v>13.04968461101911</c:v>
                </c:pt>
                <c:pt idx="40">
                  <c:v>13.253788731389074</c:v>
                </c:pt>
                <c:pt idx="41">
                  <c:v>13.350526323817494</c:v>
                </c:pt>
                <c:pt idx="42">
                  <c:v>13.424141651072222</c:v>
                </c:pt>
                <c:pt idx="43">
                  <c:v>13.472077153765373</c:v>
                </c:pt>
                <c:pt idx="44">
                  <c:v>13.521047939110661</c:v>
                </c:pt>
                <c:pt idx="45">
                  <c:v>13.566065205336795</c:v>
                </c:pt>
                <c:pt idx="46">
                  <c:v>13.37528516352975</c:v>
                </c:pt>
                <c:pt idx="47">
                  <c:v>13.388896991396132</c:v>
                </c:pt>
                <c:pt idx="48">
                  <c:v>13.413610257837147</c:v>
                </c:pt>
                <c:pt idx="49">
                  <c:v>13.383403738411531</c:v>
                </c:pt>
                <c:pt idx="50">
                  <c:v>13.358291253299958</c:v>
                </c:pt>
                <c:pt idx="51">
                  <c:v>13.426593618124896</c:v>
                </c:pt>
                <c:pt idx="52">
                  <c:v>13.423441225822044</c:v>
                </c:pt>
                <c:pt idx="53">
                  <c:v>13.406414730591306</c:v>
                </c:pt>
                <c:pt idx="54">
                  <c:v>13.505685761945397</c:v>
                </c:pt>
                <c:pt idx="55">
                  <c:v>13.829206017169543</c:v>
                </c:pt>
                <c:pt idx="56">
                  <c:v>14.06435428848626</c:v>
                </c:pt>
                <c:pt idx="57">
                  <c:v>14.379496318167181</c:v>
                </c:pt>
                <c:pt idx="58">
                  <c:v>14.483328499865339</c:v>
                </c:pt>
                <c:pt idx="59">
                  <c:v>14.377844912693687</c:v>
                </c:pt>
                <c:pt idx="60">
                  <c:v>14.420965422716952</c:v>
                </c:pt>
                <c:pt idx="61">
                  <c:v>14.475285212119424</c:v>
                </c:pt>
                <c:pt idx="62">
                  <c:v>14.443200516519841</c:v>
                </c:pt>
                <c:pt idx="63">
                  <c:v>14.34165145013446</c:v>
                </c:pt>
                <c:pt idx="64">
                  <c:v>14.13397928961456</c:v>
                </c:pt>
                <c:pt idx="65">
                  <c:v>13.86898478157892</c:v>
                </c:pt>
                <c:pt idx="66">
                  <c:v>13.880403118766981</c:v>
                </c:pt>
                <c:pt idx="67">
                  <c:v>13.759420189107855</c:v>
                </c:pt>
                <c:pt idx="68">
                  <c:v>13.58159298709376</c:v>
                </c:pt>
                <c:pt idx="69">
                  <c:v>13.427756689649097</c:v>
                </c:pt>
                <c:pt idx="70">
                  <c:v>13.330522895119303</c:v>
                </c:pt>
                <c:pt idx="71">
                  <c:v>13.199114923147754</c:v>
                </c:pt>
                <c:pt idx="72">
                  <c:v>13.112140390869332</c:v>
                </c:pt>
                <c:pt idx="73">
                  <c:v>13.034659203965365</c:v>
                </c:pt>
                <c:pt idx="74">
                  <c:v>12.997859762220246</c:v>
                </c:pt>
                <c:pt idx="75">
                  <c:v>12.871493691929455</c:v>
                </c:pt>
                <c:pt idx="76">
                  <c:v>12.775275180080921</c:v>
                </c:pt>
                <c:pt idx="77">
                  <c:v>12.667279945394725</c:v>
                </c:pt>
                <c:pt idx="78">
                  <c:v>12.444916181052694</c:v>
                </c:pt>
                <c:pt idx="79">
                  <c:v>12.400192814427154</c:v>
                </c:pt>
                <c:pt idx="80">
                  <c:v>12.310813797663437</c:v>
                </c:pt>
                <c:pt idx="81">
                  <c:v>12.226934425619053</c:v>
                </c:pt>
                <c:pt idx="82">
                  <c:v>12.17326903066774</c:v>
                </c:pt>
                <c:pt idx="83">
                  <c:v>12.061718541024639</c:v>
                </c:pt>
                <c:pt idx="84">
                  <c:v>11.939625472864719</c:v>
                </c:pt>
                <c:pt idx="85">
                  <c:v>11.809732598948912</c:v>
                </c:pt>
                <c:pt idx="86">
                  <c:v>11.698662828583849</c:v>
                </c:pt>
                <c:pt idx="87">
                  <c:v>11.637067114139237</c:v>
                </c:pt>
                <c:pt idx="88">
                  <c:v>11.517443018177218</c:v>
                </c:pt>
                <c:pt idx="89">
                  <c:v>11.372332683124869</c:v>
                </c:pt>
                <c:pt idx="90">
                  <c:v>11.325443282365535</c:v>
                </c:pt>
                <c:pt idx="91">
                  <c:v>10.994265725309912</c:v>
                </c:pt>
                <c:pt idx="92">
                  <c:v>10.825776929437737</c:v>
                </c:pt>
                <c:pt idx="93">
                  <c:v>10.573514436686132</c:v>
                </c:pt>
                <c:pt idx="94">
                  <c:v>10.235389706238522</c:v>
                </c:pt>
                <c:pt idx="95">
                  <c:v>9.8674577192361461</c:v>
                </c:pt>
                <c:pt idx="96">
                  <c:v>9.7572657044401883</c:v>
                </c:pt>
                <c:pt idx="97">
                  <c:v>9.8432128533511349</c:v>
                </c:pt>
                <c:pt idx="98">
                  <c:v>9.6941328848269865</c:v>
                </c:pt>
                <c:pt idx="99">
                  <c:v>9.5430631777433348</c:v>
                </c:pt>
                <c:pt idx="100">
                  <c:v>9.4631072719675782</c:v>
                </c:pt>
                <c:pt idx="101">
                  <c:v>9.4563312261299579</c:v>
                </c:pt>
                <c:pt idx="102">
                  <c:v>9.3155641511065959</c:v>
                </c:pt>
                <c:pt idx="103">
                  <c:v>9.0570145031508336</c:v>
                </c:pt>
                <c:pt idx="104">
                  <c:v>8.831882085775252</c:v>
                </c:pt>
                <c:pt idx="105">
                  <c:v>8.7018305149886075</c:v>
                </c:pt>
                <c:pt idx="106">
                  <c:v>8.513018630640067</c:v>
                </c:pt>
              </c:numCache>
            </c:numRef>
          </c:xVal>
          <c:yVal>
            <c:numRef>
              <c:f>'Graf 8,9,10 '!$K$14:$K$120</c:f>
              <c:numCache>
                <c:formatCode>0.0</c:formatCode>
                <c:ptCount val="107"/>
                <c:pt idx="0">
                  <c:v>0.83930629613478047</c:v>
                </c:pt>
                <c:pt idx="1">
                  <c:v>0.85569201559754038</c:v>
                </c:pt>
                <c:pt idx="2">
                  <c:v>0.82078952134252803</c:v>
                </c:pt>
                <c:pt idx="3">
                  <c:v>0.7659690259509504</c:v>
                </c:pt>
                <c:pt idx="4">
                  <c:v>0.71075414228273115</c:v>
                </c:pt>
                <c:pt idx="5">
                  <c:v>0.71049071609583758</c:v>
                </c:pt>
                <c:pt idx="6">
                  <c:v>0.66326352754719153</c:v>
                </c:pt>
                <c:pt idx="7">
                  <c:v>0.63520516573798302</c:v>
                </c:pt>
                <c:pt idx="8">
                  <c:v>0.55515517940358627</c:v>
                </c:pt>
                <c:pt idx="9">
                  <c:v>0.50176883582980458</c:v>
                </c:pt>
                <c:pt idx="10">
                  <c:v>0.41974170449166287</c:v>
                </c:pt>
                <c:pt idx="11">
                  <c:v>0.39147256787360385</c:v>
                </c:pt>
                <c:pt idx="12">
                  <c:v>0.33188017763545458</c:v>
                </c:pt>
                <c:pt idx="13">
                  <c:v>0.29581711059460702</c:v>
                </c:pt>
                <c:pt idx="14">
                  <c:v>0.25671470984879446</c:v>
                </c:pt>
                <c:pt idx="15">
                  <c:v>0.23149699422214948</c:v>
                </c:pt>
                <c:pt idx="16">
                  <c:v>0.23147750826550065</c:v>
                </c:pt>
                <c:pt idx="17">
                  <c:v>0.22603248336714085</c:v>
                </c:pt>
                <c:pt idx="18">
                  <c:v>0.22440597302012533</c:v>
                </c:pt>
                <c:pt idx="19">
                  <c:v>0.21008173689428122</c:v>
                </c:pt>
                <c:pt idx="20">
                  <c:v>0.21452451946845402</c:v>
                </c:pt>
                <c:pt idx="21">
                  <c:v>0.24467585766665151</c:v>
                </c:pt>
                <c:pt idx="22">
                  <c:v>0.24082031780363866</c:v>
                </c:pt>
                <c:pt idx="23">
                  <c:v>0.22618903849779656</c:v>
                </c:pt>
                <c:pt idx="24">
                  <c:v>0.24806862596188786</c:v>
                </c:pt>
                <c:pt idx="25">
                  <c:v>0.24029494971835852</c:v>
                </c:pt>
                <c:pt idx="26">
                  <c:v>0.23134096748622571</c:v>
                </c:pt>
                <c:pt idx="27">
                  <c:v>0.23601688867717821</c:v>
                </c:pt>
                <c:pt idx="28">
                  <c:v>0.24204591825078811</c:v>
                </c:pt>
                <c:pt idx="29">
                  <c:v>0.23739085230417636</c:v>
                </c:pt>
                <c:pt idx="30">
                  <c:v>0.24405664181451117</c:v>
                </c:pt>
                <c:pt idx="31">
                  <c:v>0.24336072904832728</c:v>
                </c:pt>
                <c:pt idx="32">
                  <c:v>0.29216994349001035</c:v>
                </c:pt>
                <c:pt idx="33">
                  <c:v>0.30585980216892844</c:v>
                </c:pt>
                <c:pt idx="34">
                  <c:v>0.32138309486633865</c:v>
                </c:pt>
                <c:pt idx="35">
                  <c:v>0.3202550910168448</c:v>
                </c:pt>
                <c:pt idx="36">
                  <c:v>0.34708018172206351</c:v>
                </c:pt>
                <c:pt idx="37">
                  <c:v>0.3303744741073063</c:v>
                </c:pt>
                <c:pt idx="38">
                  <c:v>0.33023313958791389</c:v>
                </c:pt>
                <c:pt idx="39">
                  <c:v>0.32465843270523126</c:v>
                </c:pt>
                <c:pt idx="40">
                  <c:v>0.25836565781359849</c:v>
                </c:pt>
                <c:pt idx="41">
                  <c:v>0.25674524155678136</c:v>
                </c:pt>
                <c:pt idx="42">
                  <c:v>0.30784693701539584</c:v>
                </c:pt>
                <c:pt idx="43">
                  <c:v>0.30750035620551469</c:v>
                </c:pt>
                <c:pt idx="44">
                  <c:v>0.30603878528887524</c:v>
                </c:pt>
                <c:pt idx="45">
                  <c:v>0.28586191469837086</c:v>
                </c:pt>
                <c:pt idx="46">
                  <c:v>0.28842386010956128</c:v>
                </c:pt>
                <c:pt idx="47">
                  <c:v>0.26369461076835582</c:v>
                </c:pt>
                <c:pt idx="48">
                  <c:v>0.2355519590699727</c:v>
                </c:pt>
                <c:pt idx="49">
                  <c:v>0.21971836814759976</c:v>
                </c:pt>
                <c:pt idx="50">
                  <c:v>0.20518814342970698</c:v>
                </c:pt>
                <c:pt idx="51">
                  <c:v>0.19618338681707134</c:v>
                </c:pt>
                <c:pt idx="52">
                  <c:v>0.19167794787990267</c:v>
                </c:pt>
                <c:pt idx="53">
                  <c:v>0.1918731462323395</c:v>
                </c:pt>
                <c:pt idx="54">
                  <c:v>0.16476004486147983</c:v>
                </c:pt>
                <c:pt idx="55">
                  <c:v>0.1546432586024124</c:v>
                </c:pt>
                <c:pt idx="56">
                  <c:v>0.15237744422211308</c:v>
                </c:pt>
                <c:pt idx="57">
                  <c:v>0.18551674560340314</c:v>
                </c:pt>
                <c:pt idx="58">
                  <c:v>0.21239691492704005</c:v>
                </c:pt>
                <c:pt idx="59">
                  <c:v>0.21615662820511078</c:v>
                </c:pt>
                <c:pt idx="60">
                  <c:v>0.21285219077900661</c:v>
                </c:pt>
                <c:pt idx="61">
                  <c:v>0.20885515381191821</c:v>
                </c:pt>
                <c:pt idx="62">
                  <c:v>0.18799775717849818</c:v>
                </c:pt>
                <c:pt idx="63">
                  <c:v>0.18938608513648245</c:v>
                </c:pt>
                <c:pt idx="64">
                  <c:v>0.19573145642137713</c:v>
                </c:pt>
                <c:pt idx="65">
                  <c:v>0.17503701485912521</c:v>
                </c:pt>
                <c:pt idx="66">
                  <c:v>0.18986850933593924</c:v>
                </c:pt>
                <c:pt idx="67">
                  <c:v>0.21389134857724568</c:v>
                </c:pt>
                <c:pt idx="68">
                  <c:v>0.2443830901630053</c:v>
                </c:pt>
                <c:pt idx="69">
                  <c:v>0.26616025256412462</c:v>
                </c:pt>
                <c:pt idx="70">
                  <c:v>0.23747470106218099</c:v>
                </c:pt>
                <c:pt idx="71">
                  <c:v>0.23693303669634772</c:v>
                </c:pt>
                <c:pt idx="72">
                  <c:v>0.22628211207585319</c:v>
                </c:pt>
                <c:pt idx="73">
                  <c:v>0.24605001901147322</c:v>
                </c:pt>
                <c:pt idx="74">
                  <c:v>0.27656948364949041</c:v>
                </c:pt>
                <c:pt idx="75">
                  <c:v>0.27869508578913316</c:v>
                </c:pt>
                <c:pt idx="76">
                  <c:v>0.29136896409900348</c:v>
                </c:pt>
                <c:pt idx="77">
                  <c:v>0.33965577618995368</c:v>
                </c:pt>
                <c:pt idx="78">
                  <c:v>0.34155455153097425</c:v>
                </c:pt>
                <c:pt idx="79">
                  <c:v>0.3733635564406268</c:v>
                </c:pt>
                <c:pt idx="80">
                  <c:v>0.42477213828072691</c:v>
                </c:pt>
                <c:pt idx="81">
                  <c:v>0.42550942500311983</c:v>
                </c:pt>
                <c:pt idx="82">
                  <c:v>0.46693728468538248</c:v>
                </c:pt>
                <c:pt idx="83">
                  <c:v>0.51313787629482177</c:v>
                </c:pt>
                <c:pt idx="84">
                  <c:v>0.61910507134683823</c:v>
                </c:pt>
                <c:pt idx="85">
                  <c:v>0.62833390533118061</c:v>
                </c:pt>
                <c:pt idx="86">
                  <c:v>0.77363018569988729</c:v>
                </c:pt>
                <c:pt idx="87" formatCode="0.00">
                  <c:v>0.88933104875653157</c:v>
                </c:pt>
                <c:pt idx="88" formatCode="0.00">
                  <c:v>0.94560491902363175</c:v>
                </c:pt>
                <c:pt idx="89" formatCode="0.00">
                  <c:v>0.98921473057449316</c:v>
                </c:pt>
                <c:pt idx="90" formatCode="0.00">
                  <c:v>1.0884196486411386</c:v>
                </c:pt>
                <c:pt idx="91" formatCode="0.00">
                  <c:v>1.1571357409453789</c:v>
                </c:pt>
                <c:pt idx="92" formatCode="0.00">
                  <c:v>1.3578750357050526</c:v>
                </c:pt>
                <c:pt idx="93" formatCode="0.00">
                  <c:v>1.1284022329227006</c:v>
                </c:pt>
                <c:pt idx="94" formatCode="0.00">
                  <c:v>1.2741840503633632</c:v>
                </c:pt>
                <c:pt idx="95">
                  <c:v>1.3368003006432341</c:v>
                </c:pt>
                <c:pt idx="96">
                  <c:v>1.3562066594228681</c:v>
                </c:pt>
                <c:pt idx="97">
                  <c:v>1.4758388929882631</c:v>
                </c:pt>
                <c:pt idx="98">
                  <c:v>1.472656997055076</c:v>
                </c:pt>
                <c:pt idx="99">
                  <c:v>1.4414088352241516</c:v>
                </c:pt>
                <c:pt idx="100">
                  <c:v>1.3480025006485188</c:v>
                </c:pt>
                <c:pt idx="101">
                  <c:v>1.4258050054083926</c:v>
                </c:pt>
                <c:pt idx="102">
                  <c:v>1.4401195110514353</c:v>
                </c:pt>
                <c:pt idx="103">
                  <c:v>1.4417921379958272</c:v>
                </c:pt>
                <c:pt idx="104">
                  <c:v>1.4510726887527092</c:v>
                </c:pt>
                <c:pt idx="105">
                  <c:v>1.4158485485018053</c:v>
                </c:pt>
                <c:pt idx="106">
                  <c:v>1.5219117233230244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433232"/>
        <c:axId val="435433624"/>
      </c:scatterChart>
      <c:valAx>
        <c:axId val="435433232"/>
        <c:scaling>
          <c:orientation val="minMax"/>
          <c:min val="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Mier</a:t>
                </a:r>
                <a:r>
                  <a:rPr lang="sk-SK"/>
                  <a:t>a disponibilnej nezamestnanosti, SA MF SR ( %)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35433624"/>
        <c:crosses val="autoZero"/>
        <c:crossBetween val="midCat"/>
      </c:valAx>
      <c:valAx>
        <c:axId val="435433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k-SK"/>
                  <a:t>Miera voľných pracovných miest, SA FIP </a:t>
                </a:r>
              </a:p>
              <a:p>
                <a:pPr>
                  <a:defRPr/>
                </a:pPr>
                <a:r>
                  <a:rPr lang="sk-SK"/>
                  <a:t>( %)</a:t>
                </a:r>
              </a:p>
            </c:rich>
          </c:tx>
          <c:layout>
            <c:manualLayout>
              <c:xMode val="edge"/>
              <c:yMode val="edge"/>
              <c:x val="1.4380419674232625E-2"/>
              <c:y val="8.580531207184007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354332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36988282481427"/>
          <c:y val="4.2281978903580451E-2"/>
          <c:w val="0.78496046962688815"/>
          <c:h val="0.8132823019764039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B0F0"/>
              </a:solidFill>
              <a:ln>
                <a:noFill/>
              </a:ln>
            </c:spPr>
          </c:marker>
          <c:dPt>
            <c:idx val="0"/>
            <c:bubble3D val="0"/>
          </c:dPt>
          <c:dPt>
            <c:idx val="57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58"/>
            <c:bubble3D val="0"/>
          </c:dPt>
          <c:dPt>
            <c:idx val="68"/>
            <c:bubble3D val="0"/>
          </c:dPt>
          <c:dPt>
            <c:idx val="69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71"/>
            <c:bubble3D val="0"/>
          </c:dPt>
          <c:dPt>
            <c:idx val="73"/>
            <c:bubble3D val="0"/>
          </c:dPt>
          <c:dPt>
            <c:idx val="75"/>
            <c:bubble3D val="0"/>
          </c:dPt>
          <c:dPt>
            <c:idx val="78"/>
            <c:bubble3D val="0"/>
          </c:dPt>
          <c:dPt>
            <c:idx val="79"/>
            <c:bubble3D val="0"/>
          </c:dPt>
          <c:dPt>
            <c:idx val="80"/>
            <c:bubble3D val="0"/>
          </c:dPt>
          <c:dPt>
            <c:idx val="81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82"/>
            <c:bubble3D val="0"/>
          </c:dPt>
          <c:dPt>
            <c:idx val="83"/>
            <c:bubble3D val="0"/>
          </c:dPt>
          <c:dPt>
            <c:idx val="84"/>
            <c:bubble3D val="0"/>
          </c:dPt>
          <c:dPt>
            <c:idx val="86"/>
            <c:bubble3D val="0"/>
          </c:dPt>
          <c:dPt>
            <c:idx val="87"/>
            <c:bubble3D val="0"/>
          </c:dPt>
          <c:dPt>
            <c:idx val="88"/>
            <c:bubble3D val="0"/>
          </c:dPt>
          <c:dPt>
            <c:idx val="89"/>
            <c:bubble3D val="0"/>
          </c:dPt>
          <c:dPt>
            <c:idx val="91"/>
            <c:bubble3D val="0"/>
          </c:dPt>
          <c:dPt>
            <c:idx val="92"/>
            <c:bubble3D val="0"/>
          </c:dPt>
          <c:dPt>
            <c:idx val="93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94"/>
            <c:marker>
              <c:spPr>
                <a:solidFill>
                  <a:srgbClr val="FF0000"/>
                </a:solidFill>
                <a:ln>
                  <a:noFill/>
                </a:ln>
              </c:spPr>
            </c:marker>
            <c:bubble3D val="0"/>
          </c:dPt>
          <c:xVal>
            <c:numRef>
              <c:f>'Graf 8,9,10 '!$J$14:$J$120</c:f>
              <c:numCache>
                <c:formatCode>0.0</c:formatCode>
                <c:ptCount val="107"/>
                <c:pt idx="0">
                  <c:v>7.2854499610439394</c:v>
                </c:pt>
                <c:pt idx="1">
                  <c:v>7.373225311154644</c:v>
                </c:pt>
                <c:pt idx="2">
                  <c:v>7.579771991792744</c:v>
                </c:pt>
                <c:pt idx="3">
                  <c:v>7.4412449701950614</c:v>
                </c:pt>
                <c:pt idx="4">
                  <c:v>7.4816163168378997</c:v>
                </c:pt>
                <c:pt idx="5">
                  <c:v>7.5340663314516085</c:v>
                </c:pt>
                <c:pt idx="6">
                  <c:v>7.5746076264201889</c:v>
                </c:pt>
                <c:pt idx="7">
                  <c:v>7.7879682671935386</c:v>
                </c:pt>
                <c:pt idx="8">
                  <c:v>8.1270636004221473</c:v>
                </c:pt>
                <c:pt idx="9">
                  <c:v>8.4205650288201923</c:v>
                </c:pt>
                <c:pt idx="10">
                  <c:v>8.7144327117694438</c:v>
                </c:pt>
                <c:pt idx="11">
                  <c:v>9.4041384554652705</c:v>
                </c:pt>
                <c:pt idx="12">
                  <c:v>10.064496638137486</c:v>
                </c:pt>
                <c:pt idx="13">
                  <c:v>10.841666708383318</c:v>
                </c:pt>
                <c:pt idx="14">
                  <c:v>11.519412310915541</c:v>
                </c:pt>
                <c:pt idx="15">
                  <c:v>11.815046521098623</c:v>
                </c:pt>
                <c:pt idx="16">
                  <c:v>12.072940769609923</c:v>
                </c:pt>
                <c:pt idx="17">
                  <c:v>12.242102929270812</c:v>
                </c:pt>
                <c:pt idx="18">
                  <c:v>12.484239619394359</c:v>
                </c:pt>
                <c:pt idx="19">
                  <c:v>12.643118564387612</c:v>
                </c:pt>
                <c:pt idx="20">
                  <c:v>12.710789253239113</c:v>
                </c:pt>
                <c:pt idx="21">
                  <c:v>12.716805992029997</c:v>
                </c:pt>
                <c:pt idx="22">
                  <c:v>12.601328118027007</c:v>
                </c:pt>
                <c:pt idx="23">
                  <c:v>12.62692626291358</c:v>
                </c:pt>
                <c:pt idx="24">
                  <c:v>12.586542137973508</c:v>
                </c:pt>
                <c:pt idx="25">
                  <c:v>12.44410815571001</c:v>
                </c:pt>
                <c:pt idx="26">
                  <c:v>12.380804414170814</c:v>
                </c:pt>
                <c:pt idx="27">
                  <c:v>12.368889073945185</c:v>
                </c:pt>
                <c:pt idx="28">
                  <c:v>12.36875050203261</c:v>
                </c:pt>
                <c:pt idx="29">
                  <c:v>12.403705823151459</c:v>
                </c:pt>
                <c:pt idx="30">
                  <c:v>12.470407204599985</c:v>
                </c:pt>
                <c:pt idx="31">
                  <c:v>12.498544462567656</c:v>
                </c:pt>
                <c:pt idx="32">
                  <c:v>12.475146279198933</c:v>
                </c:pt>
                <c:pt idx="33">
                  <c:v>12.49569093777561</c:v>
                </c:pt>
                <c:pt idx="34">
                  <c:v>12.671207102321965</c:v>
                </c:pt>
                <c:pt idx="35">
                  <c:v>12.784836038317065</c:v>
                </c:pt>
                <c:pt idx="36">
                  <c:v>12.833918047142795</c:v>
                </c:pt>
                <c:pt idx="37">
                  <c:v>12.888044895095833</c:v>
                </c:pt>
                <c:pt idx="38">
                  <c:v>12.996050961834978</c:v>
                </c:pt>
                <c:pt idx="39">
                  <c:v>13.04968461101911</c:v>
                </c:pt>
                <c:pt idx="40">
                  <c:v>13.253788731389074</c:v>
                </c:pt>
                <c:pt idx="41">
                  <c:v>13.350526323817494</c:v>
                </c:pt>
                <c:pt idx="42">
                  <c:v>13.424141651072222</c:v>
                </c:pt>
                <c:pt idx="43">
                  <c:v>13.472077153765373</c:v>
                </c:pt>
                <c:pt idx="44">
                  <c:v>13.521047939110661</c:v>
                </c:pt>
                <c:pt idx="45">
                  <c:v>13.566065205336795</c:v>
                </c:pt>
                <c:pt idx="46">
                  <c:v>13.37528516352975</c:v>
                </c:pt>
                <c:pt idx="47">
                  <c:v>13.388896991396132</c:v>
                </c:pt>
                <c:pt idx="48">
                  <c:v>13.413610257837147</c:v>
                </c:pt>
                <c:pt idx="49">
                  <c:v>13.383403738411531</c:v>
                </c:pt>
                <c:pt idx="50">
                  <c:v>13.358291253299958</c:v>
                </c:pt>
                <c:pt idx="51">
                  <c:v>13.426593618124896</c:v>
                </c:pt>
                <c:pt idx="52">
                  <c:v>13.423441225822044</c:v>
                </c:pt>
                <c:pt idx="53">
                  <c:v>13.406414730591306</c:v>
                </c:pt>
                <c:pt idx="54">
                  <c:v>13.505685761945397</c:v>
                </c:pt>
                <c:pt idx="55">
                  <c:v>13.829206017169543</c:v>
                </c:pt>
                <c:pt idx="56">
                  <c:v>14.06435428848626</c:v>
                </c:pt>
                <c:pt idx="57">
                  <c:v>14.379496318167181</c:v>
                </c:pt>
                <c:pt idx="58">
                  <c:v>14.483328499865339</c:v>
                </c:pt>
                <c:pt idx="59">
                  <c:v>14.377844912693687</c:v>
                </c:pt>
                <c:pt idx="60">
                  <c:v>14.420965422716952</c:v>
                </c:pt>
                <c:pt idx="61">
                  <c:v>14.475285212119424</c:v>
                </c:pt>
                <c:pt idx="62">
                  <c:v>14.443200516519841</c:v>
                </c:pt>
                <c:pt idx="63">
                  <c:v>14.34165145013446</c:v>
                </c:pt>
                <c:pt idx="64">
                  <c:v>14.13397928961456</c:v>
                </c:pt>
                <c:pt idx="65">
                  <c:v>13.86898478157892</c:v>
                </c:pt>
                <c:pt idx="66">
                  <c:v>13.880403118766981</c:v>
                </c:pt>
                <c:pt idx="67">
                  <c:v>13.759420189107855</c:v>
                </c:pt>
                <c:pt idx="68">
                  <c:v>13.58159298709376</c:v>
                </c:pt>
                <c:pt idx="69">
                  <c:v>13.427756689649097</c:v>
                </c:pt>
                <c:pt idx="70">
                  <c:v>13.330522895119303</c:v>
                </c:pt>
                <c:pt idx="71">
                  <c:v>13.199114923147754</c:v>
                </c:pt>
                <c:pt idx="72">
                  <c:v>13.112140390869332</c:v>
                </c:pt>
                <c:pt idx="73">
                  <c:v>13.034659203965365</c:v>
                </c:pt>
                <c:pt idx="74">
                  <c:v>12.997859762220246</c:v>
                </c:pt>
                <c:pt idx="75">
                  <c:v>12.871493691929455</c:v>
                </c:pt>
                <c:pt idx="76">
                  <c:v>12.775275180080921</c:v>
                </c:pt>
                <c:pt idx="77">
                  <c:v>12.667279945394725</c:v>
                </c:pt>
                <c:pt idx="78">
                  <c:v>12.444916181052694</c:v>
                </c:pt>
                <c:pt idx="79">
                  <c:v>12.400192814427154</c:v>
                </c:pt>
                <c:pt idx="80">
                  <c:v>12.310813797663437</c:v>
                </c:pt>
                <c:pt idx="81">
                  <c:v>12.226934425619053</c:v>
                </c:pt>
                <c:pt idx="82">
                  <c:v>12.17326903066774</c:v>
                </c:pt>
                <c:pt idx="83">
                  <c:v>12.061718541024639</c:v>
                </c:pt>
                <c:pt idx="84">
                  <c:v>11.939625472864719</c:v>
                </c:pt>
                <c:pt idx="85">
                  <c:v>11.809732598948912</c:v>
                </c:pt>
                <c:pt idx="86">
                  <c:v>11.698662828583849</c:v>
                </c:pt>
                <c:pt idx="87">
                  <c:v>11.637067114139237</c:v>
                </c:pt>
                <c:pt idx="88">
                  <c:v>11.517443018177218</c:v>
                </c:pt>
                <c:pt idx="89">
                  <c:v>11.372332683124869</c:v>
                </c:pt>
                <c:pt idx="90">
                  <c:v>11.325443282365535</c:v>
                </c:pt>
                <c:pt idx="91">
                  <c:v>10.994265725309912</c:v>
                </c:pt>
                <c:pt idx="92">
                  <c:v>10.825776929437737</c:v>
                </c:pt>
                <c:pt idx="93">
                  <c:v>10.573514436686132</c:v>
                </c:pt>
                <c:pt idx="94">
                  <c:v>10.235389706238522</c:v>
                </c:pt>
                <c:pt idx="95">
                  <c:v>9.8674577192361461</c:v>
                </c:pt>
                <c:pt idx="96">
                  <c:v>9.7572657044401883</c:v>
                </c:pt>
                <c:pt idx="97">
                  <c:v>9.8432128533511349</c:v>
                </c:pt>
                <c:pt idx="98">
                  <c:v>9.6941328848269865</c:v>
                </c:pt>
                <c:pt idx="99">
                  <c:v>9.5430631777433348</c:v>
                </c:pt>
                <c:pt idx="100">
                  <c:v>9.4631072719675782</c:v>
                </c:pt>
                <c:pt idx="101">
                  <c:v>9.4563312261299579</c:v>
                </c:pt>
                <c:pt idx="102">
                  <c:v>9.3155641511065959</c:v>
                </c:pt>
                <c:pt idx="103">
                  <c:v>9.0570145031508336</c:v>
                </c:pt>
                <c:pt idx="104">
                  <c:v>8.831882085775252</c:v>
                </c:pt>
                <c:pt idx="105">
                  <c:v>8.7018305149886075</c:v>
                </c:pt>
                <c:pt idx="106">
                  <c:v>8.513018630640067</c:v>
                </c:pt>
              </c:numCache>
            </c:numRef>
          </c:xVal>
          <c:yVal>
            <c:numRef>
              <c:f>'Graf 8,9,10 '!$K$14:$K$120</c:f>
              <c:numCache>
                <c:formatCode>0.0</c:formatCode>
                <c:ptCount val="107"/>
                <c:pt idx="0">
                  <c:v>0.83930629613478047</c:v>
                </c:pt>
                <c:pt idx="1">
                  <c:v>0.85569201559754038</c:v>
                </c:pt>
                <c:pt idx="2">
                  <c:v>0.82078952134252803</c:v>
                </c:pt>
                <c:pt idx="3">
                  <c:v>0.7659690259509504</c:v>
                </c:pt>
                <c:pt idx="4">
                  <c:v>0.71075414228273115</c:v>
                </c:pt>
                <c:pt idx="5">
                  <c:v>0.71049071609583758</c:v>
                </c:pt>
                <c:pt idx="6">
                  <c:v>0.66326352754719153</c:v>
                </c:pt>
                <c:pt idx="7">
                  <c:v>0.63520516573798302</c:v>
                </c:pt>
                <c:pt idx="8">
                  <c:v>0.55515517940358627</c:v>
                </c:pt>
                <c:pt idx="9">
                  <c:v>0.50176883582980458</c:v>
                </c:pt>
                <c:pt idx="10">
                  <c:v>0.41974170449166287</c:v>
                </c:pt>
                <c:pt idx="11">
                  <c:v>0.39147256787360385</c:v>
                </c:pt>
                <c:pt idx="12">
                  <c:v>0.33188017763545458</c:v>
                </c:pt>
                <c:pt idx="13">
                  <c:v>0.29581711059460702</c:v>
                </c:pt>
                <c:pt idx="14">
                  <c:v>0.25671470984879446</c:v>
                </c:pt>
                <c:pt idx="15">
                  <c:v>0.23149699422214948</c:v>
                </c:pt>
                <c:pt idx="16">
                  <c:v>0.23147750826550065</c:v>
                </c:pt>
                <c:pt idx="17">
                  <c:v>0.22603248336714085</c:v>
                </c:pt>
                <c:pt idx="18">
                  <c:v>0.22440597302012533</c:v>
                </c:pt>
                <c:pt idx="19">
                  <c:v>0.21008173689428122</c:v>
                </c:pt>
                <c:pt idx="20">
                  <c:v>0.21452451946845402</c:v>
                </c:pt>
                <c:pt idx="21">
                  <c:v>0.24467585766665151</c:v>
                </c:pt>
                <c:pt idx="22">
                  <c:v>0.24082031780363866</c:v>
                </c:pt>
                <c:pt idx="23">
                  <c:v>0.22618903849779656</c:v>
                </c:pt>
                <c:pt idx="24">
                  <c:v>0.24806862596188786</c:v>
                </c:pt>
                <c:pt idx="25">
                  <c:v>0.24029494971835852</c:v>
                </c:pt>
                <c:pt idx="26">
                  <c:v>0.23134096748622571</c:v>
                </c:pt>
                <c:pt idx="27">
                  <c:v>0.23601688867717821</c:v>
                </c:pt>
                <c:pt idx="28">
                  <c:v>0.24204591825078811</c:v>
                </c:pt>
                <c:pt idx="29">
                  <c:v>0.23739085230417636</c:v>
                </c:pt>
                <c:pt idx="30">
                  <c:v>0.24405664181451117</c:v>
                </c:pt>
                <c:pt idx="31">
                  <c:v>0.24336072904832728</c:v>
                </c:pt>
                <c:pt idx="32">
                  <c:v>0.29216994349001035</c:v>
                </c:pt>
                <c:pt idx="33">
                  <c:v>0.30585980216892844</c:v>
                </c:pt>
                <c:pt idx="34">
                  <c:v>0.32138309486633865</c:v>
                </c:pt>
                <c:pt idx="35">
                  <c:v>0.3202550910168448</c:v>
                </c:pt>
                <c:pt idx="36">
                  <c:v>0.34708018172206351</c:v>
                </c:pt>
                <c:pt idx="37">
                  <c:v>0.3303744741073063</c:v>
                </c:pt>
                <c:pt idx="38">
                  <c:v>0.33023313958791389</c:v>
                </c:pt>
                <c:pt idx="39">
                  <c:v>0.32465843270523126</c:v>
                </c:pt>
                <c:pt idx="40">
                  <c:v>0.25836565781359849</c:v>
                </c:pt>
                <c:pt idx="41">
                  <c:v>0.25674524155678136</c:v>
                </c:pt>
                <c:pt idx="42">
                  <c:v>0.30784693701539584</c:v>
                </c:pt>
                <c:pt idx="43">
                  <c:v>0.30750035620551469</c:v>
                </c:pt>
                <c:pt idx="44">
                  <c:v>0.30603878528887524</c:v>
                </c:pt>
                <c:pt idx="45">
                  <c:v>0.28586191469837086</c:v>
                </c:pt>
                <c:pt idx="46">
                  <c:v>0.28842386010956128</c:v>
                </c:pt>
                <c:pt idx="47">
                  <c:v>0.26369461076835582</c:v>
                </c:pt>
                <c:pt idx="48">
                  <c:v>0.2355519590699727</c:v>
                </c:pt>
                <c:pt idx="49">
                  <c:v>0.21971836814759976</c:v>
                </c:pt>
                <c:pt idx="50">
                  <c:v>0.20518814342970698</c:v>
                </c:pt>
                <c:pt idx="51">
                  <c:v>0.19618338681707134</c:v>
                </c:pt>
                <c:pt idx="52">
                  <c:v>0.19167794787990267</c:v>
                </c:pt>
                <c:pt idx="53">
                  <c:v>0.1918731462323395</c:v>
                </c:pt>
                <c:pt idx="54">
                  <c:v>0.16476004486147983</c:v>
                </c:pt>
                <c:pt idx="55">
                  <c:v>0.1546432586024124</c:v>
                </c:pt>
                <c:pt idx="56">
                  <c:v>0.15237744422211308</c:v>
                </c:pt>
                <c:pt idx="57">
                  <c:v>0.18551674560340314</c:v>
                </c:pt>
                <c:pt idx="58">
                  <c:v>0.21239691492704005</c:v>
                </c:pt>
                <c:pt idx="59">
                  <c:v>0.21615662820511078</c:v>
                </c:pt>
                <c:pt idx="60">
                  <c:v>0.21285219077900661</c:v>
                </c:pt>
                <c:pt idx="61">
                  <c:v>0.20885515381191821</c:v>
                </c:pt>
                <c:pt idx="62">
                  <c:v>0.18799775717849818</c:v>
                </c:pt>
                <c:pt idx="63">
                  <c:v>0.18938608513648245</c:v>
                </c:pt>
                <c:pt idx="64">
                  <c:v>0.19573145642137713</c:v>
                </c:pt>
                <c:pt idx="65">
                  <c:v>0.17503701485912521</c:v>
                </c:pt>
                <c:pt idx="66">
                  <c:v>0.18986850933593924</c:v>
                </c:pt>
                <c:pt idx="67">
                  <c:v>0.21389134857724568</c:v>
                </c:pt>
                <c:pt idx="68">
                  <c:v>0.2443830901630053</c:v>
                </c:pt>
                <c:pt idx="69">
                  <c:v>0.26616025256412462</c:v>
                </c:pt>
                <c:pt idx="70">
                  <c:v>0.23747470106218099</c:v>
                </c:pt>
                <c:pt idx="71">
                  <c:v>0.23693303669634772</c:v>
                </c:pt>
                <c:pt idx="72">
                  <c:v>0.22628211207585319</c:v>
                </c:pt>
                <c:pt idx="73">
                  <c:v>0.24605001901147322</c:v>
                </c:pt>
                <c:pt idx="74">
                  <c:v>0.27656948364949041</c:v>
                </c:pt>
                <c:pt idx="75">
                  <c:v>0.27869508578913316</c:v>
                </c:pt>
                <c:pt idx="76">
                  <c:v>0.29136896409900348</c:v>
                </c:pt>
                <c:pt idx="77">
                  <c:v>0.33965577618995368</c:v>
                </c:pt>
                <c:pt idx="78">
                  <c:v>0.34155455153097425</c:v>
                </c:pt>
                <c:pt idx="79">
                  <c:v>0.3733635564406268</c:v>
                </c:pt>
                <c:pt idx="80">
                  <c:v>0.42477213828072691</c:v>
                </c:pt>
                <c:pt idx="81">
                  <c:v>0.42550942500311983</c:v>
                </c:pt>
                <c:pt idx="82">
                  <c:v>0.46693728468538248</c:v>
                </c:pt>
                <c:pt idx="83">
                  <c:v>0.51313787629482177</c:v>
                </c:pt>
                <c:pt idx="84">
                  <c:v>0.61910507134683823</c:v>
                </c:pt>
                <c:pt idx="85">
                  <c:v>0.62833390533118061</c:v>
                </c:pt>
                <c:pt idx="86">
                  <c:v>0.77363018569988729</c:v>
                </c:pt>
                <c:pt idx="87" formatCode="0.00">
                  <c:v>0.88933104875653157</c:v>
                </c:pt>
                <c:pt idx="88" formatCode="0.00">
                  <c:v>0.94560491902363175</c:v>
                </c:pt>
                <c:pt idx="89" formatCode="0.00">
                  <c:v>0.98921473057449316</c:v>
                </c:pt>
                <c:pt idx="90" formatCode="0.00">
                  <c:v>1.0884196486411386</c:v>
                </c:pt>
                <c:pt idx="91" formatCode="0.00">
                  <c:v>1.1571357409453789</c:v>
                </c:pt>
                <c:pt idx="92" formatCode="0.00">
                  <c:v>1.3578750357050526</c:v>
                </c:pt>
                <c:pt idx="93" formatCode="0.00">
                  <c:v>1.1284022329227006</c:v>
                </c:pt>
                <c:pt idx="94" formatCode="0.00">
                  <c:v>1.2741840503633632</c:v>
                </c:pt>
                <c:pt idx="95">
                  <c:v>1.3368003006432341</c:v>
                </c:pt>
                <c:pt idx="96">
                  <c:v>1.3562066594228681</c:v>
                </c:pt>
                <c:pt idx="97">
                  <c:v>1.4758388929882631</c:v>
                </c:pt>
                <c:pt idx="98">
                  <c:v>1.472656997055076</c:v>
                </c:pt>
                <c:pt idx="99">
                  <c:v>1.4414088352241516</c:v>
                </c:pt>
                <c:pt idx="100">
                  <c:v>1.3480025006485188</c:v>
                </c:pt>
                <c:pt idx="101">
                  <c:v>1.4258050054083926</c:v>
                </c:pt>
                <c:pt idx="102">
                  <c:v>1.4401195110514353</c:v>
                </c:pt>
                <c:pt idx="103">
                  <c:v>1.4417921379958272</c:v>
                </c:pt>
                <c:pt idx="104">
                  <c:v>1.4510726887527092</c:v>
                </c:pt>
                <c:pt idx="105">
                  <c:v>1.4158485485018053</c:v>
                </c:pt>
                <c:pt idx="106">
                  <c:v>1.5219117233230244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913520"/>
        <c:axId val="430913912"/>
      </c:scatterChart>
      <c:valAx>
        <c:axId val="430913520"/>
        <c:scaling>
          <c:orientation val="minMax"/>
          <c:min val="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Disposable unemployment</a:t>
                </a:r>
                <a:r>
                  <a:rPr lang="sk-SK" baseline="0"/>
                  <a:t> rate</a:t>
                </a:r>
                <a:r>
                  <a:rPr lang="sk-SK"/>
                  <a:t>, SA MF SR ( %)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30913912"/>
        <c:crosses val="autoZero"/>
        <c:crossBetween val="midCat"/>
      </c:valAx>
      <c:valAx>
        <c:axId val="430913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k-SK"/>
                  <a:t>Job vacancy</a:t>
                </a:r>
                <a:r>
                  <a:rPr lang="sk-SK" baseline="0"/>
                  <a:t> rate, </a:t>
                </a:r>
                <a:r>
                  <a:rPr lang="sk-SK"/>
                  <a:t>SA FIP </a:t>
                </a:r>
              </a:p>
              <a:p>
                <a:pPr>
                  <a:defRPr/>
                </a:pPr>
                <a:r>
                  <a:rPr lang="sk-SK"/>
                  <a:t>( %)</a:t>
                </a:r>
              </a:p>
            </c:rich>
          </c:tx>
          <c:layout>
            <c:manualLayout>
              <c:xMode val="edge"/>
              <c:yMode val="edge"/>
              <c:x val="1.8640369634306892E-2"/>
              <c:y val="0.2138986120184758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309135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8,9,10 '!$I$7</c:f>
              <c:strCache>
                <c:ptCount val="1"/>
                <c:pt idx="0">
                  <c:v>Miera nezamestnanosti, (VZPS, SA IFP)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8,9,10 '!$J$6:$CW$6</c:f>
              <c:strCache>
                <c:ptCount val="92"/>
                <c:pt idx="0">
                  <c:v>1994Q1</c:v>
                </c:pt>
                <c:pt idx="1">
                  <c:v>1994Q2</c:v>
                </c:pt>
                <c:pt idx="2">
                  <c:v>1994Q3</c:v>
                </c:pt>
                <c:pt idx="3">
                  <c:v>1994Q4</c:v>
                </c:pt>
                <c:pt idx="4">
                  <c:v>1995Q1</c:v>
                </c:pt>
                <c:pt idx="5">
                  <c:v>1995Q2</c:v>
                </c:pt>
                <c:pt idx="6">
                  <c:v>1995Q3</c:v>
                </c:pt>
                <c:pt idx="7">
                  <c:v>1995Q4</c:v>
                </c:pt>
                <c:pt idx="8">
                  <c:v>1996Q1</c:v>
                </c:pt>
                <c:pt idx="9">
                  <c:v>1996Q2</c:v>
                </c:pt>
                <c:pt idx="10">
                  <c:v>1996Q3</c:v>
                </c:pt>
                <c:pt idx="11">
                  <c:v>1996Q4</c:v>
                </c:pt>
                <c:pt idx="12">
                  <c:v>1997Q1</c:v>
                </c:pt>
                <c:pt idx="13">
                  <c:v>1997Q2</c:v>
                </c:pt>
                <c:pt idx="14">
                  <c:v>1997Q3</c:v>
                </c:pt>
                <c:pt idx="15">
                  <c:v>1997Q4</c:v>
                </c:pt>
                <c:pt idx="16">
                  <c:v>1998Q1</c:v>
                </c:pt>
                <c:pt idx="17">
                  <c:v>1998Q2</c:v>
                </c:pt>
                <c:pt idx="18">
                  <c:v>1998Q3</c:v>
                </c:pt>
                <c:pt idx="19">
                  <c:v>1998Q4</c:v>
                </c:pt>
                <c:pt idx="20">
                  <c:v>1999Q1</c:v>
                </c:pt>
                <c:pt idx="21">
                  <c:v>1999Q2</c:v>
                </c:pt>
                <c:pt idx="22">
                  <c:v>1999Q3</c:v>
                </c:pt>
                <c:pt idx="23">
                  <c:v>1999Q4</c:v>
                </c:pt>
                <c:pt idx="24">
                  <c:v>2000Q1</c:v>
                </c:pt>
                <c:pt idx="25">
                  <c:v>2000Q2</c:v>
                </c:pt>
                <c:pt idx="26">
                  <c:v>2000Q3</c:v>
                </c:pt>
                <c:pt idx="27">
                  <c:v>2000Q4</c:v>
                </c:pt>
                <c:pt idx="28">
                  <c:v>2001Q1</c:v>
                </c:pt>
                <c:pt idx="29">
                  <c:v>2001Q2</c:v>
                </c:pt>
                <c:pt idx="30">
                  <c:v>2001Q3</c:v>
                </c:pt>
                <c:pt idx="31">
                  <c:v>2001Q4</c:v>
                </c:pt>
                <c:pt idx="32">
                  <c:v>2002Q1</c:v>
                </c:pt>
                <c:pt idx="33">
                  <c:v>2002Q2</c:v>
                </c:pt>
                <c:pt idx="34">
                  <c:v>2002Q3</c:v>
                </c:pt>
                <c:pt idx="35">
                  <c:v>2002Q4</c:v>
                </c:pt>
                <c:pt idx="36">
                  <c:v>2003Q1</c:v>
                </c:pt>
                <c:pt idx="37">
                  <c:v>2003Q2</c:v>
                </c:pt>
                <c:pt idx="38">
                  <c:v>2003Q3</c:v>
                </c:pt>
                <c:pt idx="39">
                  <c:v>2003Q4</c:v>
                </c:pt>
                <c:pt idx="40">
                  <c:v>2004Q1</c:v>
                </c:pt>
                <c:pt idx="41">
                  <c:v>2004Q2</c:v>
                </c:pt>
                <c:pt idx="42">
                  <c:v>2004Q3</c:v>
                </c:pt>
                <c:pt idx="43">
                  <c:v>2004Q4</c:v>
                </c:pt>
                <c:pt idx="44">
                  <c:v>2005Q1</c:v>
                </c:pt>
                <c:pt idx="45">
                  <c:v>2005Q2</c:v>
                </c:pt>
                <c:pt idx="46">
                  <c:v>2005Q3</c:v>
                </c:pt>
                <c:pt idx="47">
                  <c:v>2005Q4</c:v>
                </c:pt>
                <c:pt idx="48">
                  <c:v>2006Q1</c:v>
                </c:pt>
                <c:pt idx="49">
                  <c:v>2006Q2</c:v>
                </c:pt>
                <c:pt idx="50">
                  <c:v>2006Q3</c:v>
                </c:pt>
                <c:pt idx="51">
                  <c:v>2006Q4</c:v>
                </c:pt>
                <c:pt idx="52">
                  <c:v>2007Q1</c:v>
                </c:pt>
                <c:pt idx="53">
                  <c:v>2007Q2</c:v>
                </c:pt>
                <c:pt idx="54">
                  <c:v>2007Q3</c:v>
                </c:pt>
                <c:pt idx="55">
                  <c:v>2007Q4</c:v>
                </c:pt>
                <c:pt idx="56">
                  <c:v>2008Q1</c:v>
                </c:pt>
                <c:pt idx="57">
                  <c:v>2008Q2</c:v>
                </c:pt>
                <c:pt idx="58">
                  <c:v>2008Q3</c:v>
                </c:pt>
                <c:pt idx="59">
                  <c:v>2008Q4</c:v>
                </c:pt>
                <c:pt idx="60">
                  <c:v>2009Q1</c:v>
                </c:pt>
                <c:pt idx="61">
                  <c:v>2009Q2</c:v>
                </c:pt>
                <c:pt idx="62">
                  <c:v>2009Q3</c:v>
                </c:pt>
                <c:pt idx="63">
                  <c:v>2009Q4</c:v>
                </c:pt>
                <c:pt idx="64">
                  <c:v>2010Q1</c:v>
                </c:pt>
                <c:pt idx="65">
                  <c:v>2010Q2</c:v>
                </c:pt>
                <c:pt idx="66">
                  <c:v>2010Q3</c:v>
                </c:pt>
                <c:pt idx="67">
                  <c:v>2010Q4</c:v>
                </c:pt>
                <c:pt idx="68">
                  <c:v>2011Q1</c:v>
                </c:pt>
                <c:pt idx="69">
                  <c:v>2011Q2</c:v>
                </c:pt>
                <c:pt idx="70">
                  <c:v>2011Q3</c:v>
                </c:pt>
                <c:pt idx="71">
                  <c:v>2011Q4</c:v>
                </c:pt>
                <c:pt idx="72">
                  <c:v>2012Q1</c:v>
                </c:pt>
                <c:pt idx="73">
                  <c:v>2012Q2</c:v>
                </c:pt>
                <c:pt idx="74">
                  <c:v>2012Q3</c:v>
                </c:pt>
                <c:pt idx="75">
                  <c:v>2012Q4</c:v>
                </c:pt>
                <c:pt idx="76">
                  <c:v>2013Q1</c:v>
                </c:pt>
                <c:pt idx="77">
                  <c:v>2013Q2</c:v>
                </c:pt>
                <c:pt idx="78">
                  <c:v>2013Q3</c:v>
                </c:pt>
                <c:pt idx="79">
                  <c:v>2013Q4</c:v>
                </c:pt>
                <c:pt idx="80">
                  <c:v>2014Q1</c:v>
                </c:pt>
                <c:pt idx="81">
                  <c:v>2014Q2</c:v>
                </c:pt>
                <c:pt idx="82">
                  <c:v>2014Q3</c:v>
                </c:pt>
                <c:pt idx="83">
                  <c:v>2014Q4</c:v>
                </c:pt>
                <c:pt idx="84">
                  <c:v>2015Q1</c:v>
                </c:pt>
                <c:pt idx="85">
                  <c:v>2015Q2</c:v>
                </c:pt>
                <c:pt idx="86">
                  <c:v>2015Q3</c:v>
                </c:pt>
                <c:pt idx="87">
                  <c:v>2015Q4</c:v>
                </c:pt>
                <c:pt idx="88">
                  <c:v>2016Q1</c:v>
                </c:pt>
                <c:pt idx="89">
                  <c:v>2016Q2</c:v>
                </c:pt>
                <c:pt idx="90">
                  <c:v>2016Q3</c:v>
                </c:pt>
                <c:pt idx="91">
                  <c:v>2016Q4</c:v>
                </c:pt>
              </c:strCache>
            </c:strRef>
          </c:cat>
          <c:val>
            <c:numRef>
              <c:f>'Graf 8,9,10 '!$J$7:$CW$7</c:f>
              <c:numCache>
                <c:formatCode>0.0</c:formatCode>
                <c:ptCount val="92"/>
                <c:pt idx="0">
                  <c:v>13.169560014099169</c:v>
                </c:pt>
                <c:pt idx="1">
                  <c:v>13.582809306230503</c:v>
                </c:pt>
                <c:pt idx="2">
                  <c:v>13.730564682467456</c:v>
                </c:pt>
                <c:pt idx="3">
                  <c:v>14.149146648061434</c:v>
                </c:pt>
                <c:pt idx="4">
                  <c:v>13.843940196159343</c:v>
                </c:pt>
                <c:pt idx="5">
                  <c:v>13.446388758028846</c:v>
                </c:pt>
                <c:pt idx="6">
                  <c:v>12.723425323029472</c:v>
                </c:pt>
                <c:pt idx="7">
                  <c:v>12.473809208195844</c:v>
                </c:pt>
                <c:pt idx="8">
                  <c:v>11.734865627396598</c:v>
                </c:pt>
                <c:pt idx="9">
                  <c:v>11.350197768703438</c:v>
                </c:pt>
                <c:pt idx="10">
                  <c:v>11.15085577889675</c:v>
                </c:pt>
                <c:pt idx="11">
                  <c:v>11.121817703716008</c:v>
                </c:pt>
                <c:pt idx="12">
                  <c:v>11.484254373539784</c:v>
                </c:pt>
                <c:pt idx="13">
                  <c:v>11.599393077224708</c:v>
                </c:pt>
                <c:pt idx="14">
                  <c:v>12.246805629612673</c:v>
                </c:pt>
                <c:pt idx="15">
                  <c:v>12.22126902178662</c:v>
                </c:pt>
                <c:pt idx="16">
                  <c:v>12.120053914763286</c:v>
                </c:pt>
                <c:pt idx="17">
                  <c:v>12.308883282802039</c:v>
                </c:pt>
                <c:pt idx="18">
                  <c:v>13.035022879202227</c:v>
                </c:pt>
                <c:pt idx="19">
                  <c:v>13.060194323937877</c:v>
                </c:pt>
                <c:pt idx="20">
                  <c:v>14.816523254193873</c:v>
                </c:pt>
                <c:pt idx="21">
                  <c:v>15.986507021591912</c:v>
                </c:pt>
                <c:pt idx="22">
                  <c:v>16.997061540293558</c:v>
                </c:pt>
                <c:pt idx="23">
                  <c:v>17.663178016293301</c:v>
                </c:pt>
                <c:pt idx="24">
                  <c:v>18.456682366977851</c:v>
                </c:pt>
                <c:pt idx="25">
                  <c:v>19.09087468041584</c:v>
                </c:pt>
                <c:pt idx="26">
                  <c:v>18.881900476792211</c:v>
                </c:pt>
                <c:pt idx="27">
                  <c:v>18.617729968987373</c:v>
                </c:pt>
                <c:pt idx="28">
                  <c:v>19.254354207355512</c:v>
                </c:pt>
                <c:pt idx="29">
                  <c:v>19.383548607019804</c:v>
                </c:pt>
                <c:pt idx="30">
                  <c:v>19.403360891112456</c:v>
                </c:pt>
                <c:pt idx="31">
                  <c:v>19.182425675540035</c:v>
                </c:pt>
                <c:pt idx="32">
                  <c:v>18.812174348532892</c:v>
                </c:pt>
                <c:pt idx="33">
                  <c:v>18.707877382504428</c:v>
                </c:pt>
                <c:pt idx="34">
                  <c:v>18.628565551840349</c:v>
                </c:pt>
                <c:pt idx="35">
                  <c:v>18.352274947048798</c:v>
                </c:pt>
                <c:pt idx="36">
                  <c:v>17.805909548226971</c:v>
                </c:pt>
                <c:pt idx="37">
                  <c:v>17.156219281377876</c:v>
                </c:pt>
                <c:pt idx="38">
                  <c:v>17.340735107259775</c:v>
                </c:pt>
                <c:pt idx="39">
                  <c:v>17.657494167155761</c:v>
                </c:pt>
                <c:pt idx="40">
                  <c:v>18.775706480297107</c:v>
                </c:pt>
                <c:pt idx="41">
                  <c:v>18.617569912617505</c:v>
                </c:pt>
                <c:pt idx="42">
                  <c:v>17.780275845106843</c:v>
                </c:pt>
                <c:pt idx="43">
                  <c:v>17.322952986895814</c:v>
                </c:pt>
                <c:pt idx="44">
                  <c:v>16.984589743107005</c:v>
                </c:pt>
                <c:pt idx="45">
                  <c:v>16.295423753100351</c:v>
                </c:pt>
                <c:pt idx="46">
                  <c:v>15.881828309723714</c:v>
                </c:pt>
                <c:pt idx="47">
                  <c:v>15.501958560085793</c:v>
                </c:pt>
                <c:pt idx="48">
                  <c:v>14.444944131072269</c:v>
                </c:pt>
                <c:pt idx="49">
                  <c:v>13.572490171569651</c:v>
                </c:pt>
                <c:pt idx="50">
                  <c:v>13.019509140448147</c:v>
                </c:pt>
                <c:pt idx="51">
                  <c:v>12.202106263516836</c:v>
                </c:pt>
                <c:pt idx="52">
                  <c:v>11.083239303854739</c:v>
                </c:pt>
                <c:pt idx="53">
                  <c:v>11.179676183512985</c:v>
                </c:pt>
                <c:pt idx="54">
                  <c:v>11.331076895924681</c:v>
                </c:pt>
                <c:pt idx="55">
                  <c:v>10.447076790865136</c:v>
                </c:pt>
                <c:pt idx="56">
                  <c:v>10.116098880429233</c:v>
                </c:pt>
                <c:pt idx="57">
                  <c:v>10.236472398162217</c:v>
                </c:pt>
                <c:pt idx="58">
                  <c:v>9.111612681509456</c:v>
                </c:pt>
                <c:pt idx="59">
                  <c:v>8.8047151956520082</c:v>
                </c:pt>
                <c:pt idx="60">
                  <c:v>10.107429057308163</c:v>
                </c:pt>
                <c:pt idx="61">
                  <c:v>11.399979571986879</c:v>
                </c:pt>
                <c:pt idx="62">
                  <c:v>12.706665021325126</c:v>
                </c:pt>
                <c:pt idx="63">
                  <c:v>13.954926853278279</c:v>
                </c:pt>
                <c:pt idx="64">
                  <c:v>14.702688264382507</c:v>
                </c:pt>
                <c:pt idx="65">
                  <c:v>14.527512569859413</c:v>
                </c:pt>
                <c:pt idx="66">
                  <c:v>14.317086678503459</c:v>
                </c:pt>
                <c:pt idx="67">
                  <c:v>13.906399920990028</c:v>
                </c:pt>
                <c:pt idx="68">
                  <c:v>13.525139707419612</c:v>
                </c:pt>
                <c:pt idx="69">
                  <c:v>13.428786383678338</c:v>
                </c:pt>
                <c:pt idx="70">
                  <c:v>13.437129459218427</c:v>
                </c:pt>
                <c:pt idx="71">
                  <c:v>13.975967135707879</c:v>
                </c:pt>
                <c:pt idx="72">
                  <c:v>13.692884344111715</c:v>
                </c:pt>
                <c:pt idx="73">
                  <c:v>13.854253255422332</c:v>
                </c:pt>
                <c:pt idx="74">
                  <c:v>13.89876372683077</c:v>
                </c:pt>
                <c:pt idx="75">
                  <c:v>14.310422541447162</c:v>
                </c:pt>
                <c:pt idx="76">
                  <c:v>14.214079401740534</c:v>
                </c:pt>
                <c:pt idx="77">
                  <c:v>14.268926248101257</c:v>
                </c:pt>
                <c:pt idx="78">
                  <c:v>14.2668494409121</c:v>
                </c:pt>
                <c:pt idx="79">
                  <c:v>14.100010166882907</c:v>
                </c:pt>
                <c:pt idx="80">
                  <c:v>13.803265256226402</c:v>
                </c:pt>
                <c:pt idx="81">
                  <c:v>13.409243667769291</c:v>
                </c:pt>
                <c:pt idx="82">
                  <c:v>13.044917210098744</c:v>
                </c:pt>
                <c:pt idx="83">
                  <c:v>12.462149467739327</c:v>
                </c:pt>
                <c:pt idx="84">
                  <c:v>12.174551474158836</c:v>
                </c:pt>
                <c:pt idx="85">
                  <c:v>11.525508512776996</c:v>
                </c:pt>
                <c:pt idx="86">
                  <c:v>11.3510213619368</c:v>
                </c:pt>
                <c:pt idx="87">
                  <c:v>10.84836882277872</c:v>
                </c:pt>
                <c:pt idx="88">
                  <c:v>10.145083706069</c:v>
                </c:pt>
                <c:pt idx="89">
                  <c:v>9.9168461889053212</c:v>
                </c:pt>
                <c:pt idx="90">
                  <c:v>9.5188207244867016</c:v>
                </c:pt>
                <c:pt idx="91">
                  <c:v>8.9926769188407718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8,9,10 '!$I$8</c:f>
              <c:strCache>
                <c:ptCount val="1"/>
                <c:pt idx="0">
                  <c:v>Miera dlhodobej nezamestnanosti (VZPS)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8,9,10 '!$J$6:$CW$6</c:f>
              <c:strCache>
                <c:ptCount val="92"/>
                <c:pt idx="0">
                  <c:v>1994Q1</c:v>
                </c:pt>
                <c:pt idx="1">
                  <c:v>1994Q2</c:v>
                </c:pt>
                <c:pt idx="2">
                  <c:v>1994Q3</c:v>
                </c:pt>
                <c:pt idx="3">
                  <c:v>1994Q4</c:v>
                </c:pt>
                <c:pt idx="4">
                  <c:v>1995Q1</c:v>
                </c:pt>
                <c:pt idx="5">
                  <c:v>1995Q2</c:v>
                </c:pt>
                <c:pt idx="6">
                  <c:v>1995Q3</c:v>
                </c:pt>
                <c:pt idx="7">
                  <c:v>1995Q4</c:v>
                </c:pt>
                <c:pt idx="8">
                  <c:v>1996Q1</c:v>
                </c:pt>
                <c:pt idx="9">
                  <c:v>1996Q2</c:v>
                </c:pt>
                <c:pt idx="10">
                  <c:v>1996Q3</c:v>
                </c:pt>
                <c:pt idx="11">
                  <c:v>1996Q4</c:v>
                </c:pt>
                <c:pt idx="12">
                  <c:v>1997Q1</c:v>
                </c:pt>
                <c:pt idx="13">
                  <c:v>1997Q2</c:v>
                </c:pt>
                <c:pt idx="14">
                  <c:v>1997Q3</c:v>
                </c:pt>
                <c:pt idx="15">
                  <c:v>1997Q4</c:v>
                </c:pt>
                <c:pt idx="16">
                  <c:v>1998Q1</c:v>
                </c:pt>
                <c:pt idx="17">
                  <c:v>1998Q2</c:v>
                </c:pt>
                <c:pt idx="18">
                  <c:v>1998Q3</c:v>
                </c:pt>
                <c:pt idx="19">
                  <c:v>1998Q4</c:v>
                </c:pt>
                <c:pt idx="20">
                  <c:v>1999Q1</c:v>
                </c:pt>
                <c:pt idx="21">
                  <c:v>1999Q2</c:v>
                </c:pt>
                <c:pt idx="22">
                  <c:v>1999Q3</c:v>
                </c:pt>
                <c:pt idx="23">
                  <c:v>1999Q4</c:v>
                </c:pt>
                <c:pt idx="24">
                  <c:v>2000Q1</c:v>
                </c:pt>
                <c:pt idx="25">
                  <c:v>2000Q2</c:v>
                </c:pt>
                <c:pt idx="26">
                  <c:v>2000Q3</c:v>
                </c:pt>
                <c:pt idx="27">
                  <c:v>2000Q4</c:v>
                </c:pt>
                <c:pt idx="28">
                  <c:v>2001Q1</c:v>
                </c:pt>
                <c:pt idx="29">
                  <c:v>2001Q2</c:v>
                </c:pt>
                <c:pt idx="30">
                  <c:v>2001Q3</c:v>
                </c:pt>
                <c:pt idx="31">
                  <c:v>2001Q4</c:v>
                </c:pt>
                <c:pt idx="32">
                  <c:v>2002Q1</c:v>
                </c:pt>
                <c:pt idx="33">
                  <c:v>2002Q2</c:v>
                </c:pt>
                <c:pt idx="34">
                  <c:v>2002Q3</c:v>
                </c:pt>
                <c:pt idx="35">
                  <c:v>2002Q4</c:v>
                </c:pt>
                <c:pt idx="36">
                  <c:v>2003Q1</c:v>
                </c:pt>
                <c:pt idx="37">
                  <c:v>2003Q2</c:v>
                </c:pt>
                <c:pt idx="38">
                  <c:v>2003Q3</c:v>
                </c:pt>
                <c:pt idx="39">
                  <c:v>2003Q4</c:v>
                </c:pt>
                <c:pt idx="40">
                  <c:v>2004Q1</c:v>
                </c:pt>
                <c:pt idx="41">
                  <c:v>2004Q2</c:v>
                </c:pt>
                <c:pt idx="42">
                  <c:v>2004Q3</c:v>
                </c:pt>
                <c:pt idx="43">
                  <c:v>2004Q4</c:v>
                </c:pt>
                <c:pt idx="44">
                  <c:v>2005Q1</c:v>
                </c:pt>
                <c:pt idx="45">
                  <c:v>2005Q2</c:v>
                </c:pt>
                <c:pt idx="46">
                  <c:v>2005Q3</c:v>
                </c:pt>
                <c:pt idx="47">
                  <c:v>2005Q4</c:v>
                </c:pt>
                <c:pt idx="48">
                  <c:v>2006Q1</c:v>
                </c:pt>
                <c:pt idx="49">
                  <c:v>2006Q2</c:v>
                </c:pt>
                <c:pt idx="50">
                  <c:v>2006Q3</c:v>
                </c:pt>
                <c:pt idx="51">
                  <c:v>2006Q4</c:v>
                </c:pt>
                <c:pt idx="52">
                  <c:v>2007Q1</c:v>
                </c:pt>
                <c:pt idx="53">
                  <c:v>2007Q2</c:v>
                </c:pt>
                <c:pt idx="54">
                  <c:v>2007Q3</c:v>
                </c:pt>
                <c:pt idx="55">
                  <c:v>2007Q4</c:v>
                </c:pt>
                <c:pt idx="56">
                  <c:v>2008Q1</c:v>
                </c:pt>
                <c:pt idx="57">
                  <c:v>2008Q2</c:v>
                </c:pt>
                <c:pt idx="58">
                  <c:v>2008Q3</c:v>
                </c:pt>
                <c:pt idx="59">
                  <c:v>2008Q4</c:v>
                </c:pt>
                <c:pt idx="60">
                  <c:v>2009Q1</c:v>
                </c:pt>
                <c:pt idx="61">
                  <c:v>2009Q2</c:v>
                </c:pt>
                <c:pt idx="62">
                  <c:v>2009Q3</c:v>
                </c:pt>
                <c:pt idx="63">
                  <c:v>2009Q4</c:v>
                </c:pt>
                <c:pt idx="64">
                  <c:v>2010Q1</c:v>
                </c:pt>
                <c:pt idx="65">
                  <c:v>2010Q2</c:v>
                </c:pt>
                <c:pt idx="66">
                  <c:v>2010Q3</c:v>
                </c:pt>
                <c:pt idx="67">
                  <c:v>2010Q4</c:v>
                </c:pt>
                <c:pt idx="68">
                  <c:v>2011Q1</c:v>
                </c:pt>
                <c:pt idx="69">
                  <c:v>2011Q2</c:v>
                </c:pt>
                <c:pt idx="70">
                  <c:v>2011Q3</c:v>
                </c:pt>
                <c:pt idx="71">
                  <c:v>2011Q4</c:v>
                </c:pt>
                <c:pt idx="72">
                  <c:v>2012Q1</c:v>
                </c:pt>
                <c:pt idx="73">
                  <c:v>2012Q2</c:v>
                </c:pt>
                <c:pt idx="74">
                  <c:v>2012Q3</c:v>
                </c:pt>
                <c:pt idx="75">
                  <c:v>2012Q4</c:v>
                </c:pt>
                <c:pt idx="76">
                  <c:v>2013Q1</c:v>
                </c:pt>
                <c:pt idx="77">
                  <c:v>2013Q2</c:v>
                </c:pt>
                <c:pt idx="78">
                  <c:v>2013Q3</c:v>
                </c:pt>
                <c:pt idx="79">
                  <c:v>2013Q4</c:v>
                </c:pt>
                <c:pt idx="80">
                  <c:v>2014Q1</c:v>
                </c:pt>
                <c:pt idx="81">
                  <c:v>2014Q2</c:v>
                </c:pt>
                <c:pt idx="82">
                  <c:v>2014Q3</c:v>
                </c:pt>
                <c:pt idx="83">
                  <c:v>2014Q4</c:v>
                </c:pt>
                <c:pt idx="84">
                  <c:v>2015Q1</c:v>
                </c:pt>
                <c:pt idx="85">
                  <c:v>2015Q2</c:v>
                </c:pt>
                <c:pt idx="86">
                  <c:v>2015Q3</c:v>
                </c:pt>
                <c:pt idx="87">
                  <c:v>2015Q4</c:v>
                </c:pt>
                <c:pt idx="88">
                  <c:v>2016Q1</c:v>
                </c:pt>
                <c:pt idx="89">
                  <c:v>2016Q2</c:v>
                </c:pt>
                <c:pt idx="90">
                  <c:v>2016Q3</c:v>
                </c:pt>
                <c:pt idx="91">
                  <c:v>2016Q4</c:v>
                </c:pt>
              </c:strCache>
            </c:strRef>
          </c:cat>
          <c:val>
            <c:numRef>
              <c:f>'Graf 8,9,10 '!$J$8:$CW$8</c:f>
              <c:numCache>
                <c:formatCode>0.0</c:formatCode>
                <c:ptCount val="92"/>
                <c:pt idx="0">
                  <c:v>4.6612244897959174</c:v>
                </c:pt>
                <c:pt idx="1">
                  <c:v>5.2885011112025673</c:v>
                </c:pt>
                <c:pt idx="2">
                  <c:v>6.0661915294503164</c:v>
                </c:pt>
                <c:pt idx="3">
                  <c:v>6.7739963317709391</c:v>
                </c:pt>
                <c:pt idx="4">
                  <c:v>7.3814916680148848</c:v>
                </c:pt>
                <c:pt idx="5">
                  <c:v>7.1448857873169151</c:v>
                </c:pt>
                <c:pt idx="6">
                  <c:v>6.7791796827457524</c:v>
                </c:pt>
                <c:pt idx="7">
                  <c:v>6.5809105205855065</c:v>
                </c:pt>
                <c:pt idx="8">
                  <c:v>6.0735194551754352</c:v>
                </c:pt>
                <c:pt idx="9">
                  <c:v>6.0331704190369368</c:v>
                </c:pt>
                <c:pt idx="10">
                  <c:v>5.5409810000794986</c:v>
                </c:pt>
                <c:pt idx="11">
                  <c:v>5.7211060274517607</c:v>
                </c:pt>
                <c:pt idx="12">
                  <c:v>5.7966411243895664</c:v>
                </c:pt>
                <c:pt idx="13">
                  <c:v>5.823607267476838</c:v>
                </c:pt>
                <c:pt idx="14">
                  <c:v>6.1653414312542463</c:v>
                </c:pt>
                <c:pt idx="15">
                  <c:v>6.0914111902665491</c:v>
                </c:pt>
                <c:pt idx="16">
                  <c:v>6.3237807544020033</c:v>
                </c:pt>
                <c:pt idx="17">
                  <c:v>6.3345167338146711</c:v>
                </c:pt>
                <c:pt idx="18">
                  <c:v>6.529236868186322</c:v>
                </c:pt>
                <c:pt idx="19">
                  <c:v>6.3599888769713591</c:v>
                </c:pt>
                <c:pt idx="20">
                  <c:v>7.0700337228452677</c:v>
                </c:pt>
                <c:pt idx="21">
                  <c:v>7.4006792512439761</c:v>
                </c:pt>
                <c:pt idx="22">
                  <c:v>7.8551859099804302</c:v>
                </c:pt>
                <c:pt idx="23">
                  <c:v>8.3261668360566041</c:v>
                </c:pt>
                <c:pt idx="24">
                  <c:v>9.5333745364647733</c:v>
                </c:pt>
                <c:pt idx="25">
                  <c:v>10.259498096495999</c:v>
                </c:pt>
                <c:pt idx="26">
                  <c:v>10.387955993051536</c:v>
                </c:pt>
                <c:pt idx="27">
                  <c:v>10.269457615357926</c:v>
                </c:pt>
                <c:pt idx="28">
                  <c:v>10.63286313381624</c:v>
                </c:pt>
                <c:pt idx="29">
                  <c:v>10.695390705286796</c:v>
                </c:pt>
                <c:pt idx="30">
                  <c:v>10.79781999848611</c:v>
                </c:pt>
                <c:pt idx="31">
                  <c:v>10.857598420712957</c:v>
                </c:pt>
                <c:pt idx="32">
                  <c:v>11.299024296919837</c:v>
                </c:pt>
                <c:pt idx="33">
                  <c:v>11.306822552111377</c:v>
                </c:pt>
                <c:pt idx="34">
                  <c:v>11.213382729251805</c:v>
                </c:pt>
                <c:pt idx="35">
                  <c:v>10.7722802470077</c:v>
                </c:pt>
                <c:pt idx="36">
                  <c:v>11.184235699253875</c:v>
                </c:pt>
                <c:pt idx="37">
                  <c:v>10.558294164851542</c:v>
                </c:pt>
                <c:pt idx="38">
                  <c:v>10.547482642182343</c:v>
                </c:pt>
                <c:pt idx="39">
                  <c:v>10.529519172245891</c:v>
                </c:pt>
                <c:pt idx="40">
                  <c:v>11.248721736166344</c:v>
                </c:pt>
                <c:pt idx="41">
                  <c:v>11.172528679059553</c:v>
                </c:pt>
                <c:pt idx="42">
                  <c:v>10.645475672839043</c:v>
                </c:pt>
                <c:pt idx="43">
                  <c:v>10.870465930920185</c:v>
                </c:pt>
                <c:pt idx="44">
                  <c:v>11.503050051149927</c:v>
                </c:pt>
                <c:pt idx="45">
                  <c:v>11.029327638152626</c:v>
                </c:pt>
                <c:pt idx="46">
                  <c:v>10.797147923190101</c:v>
                </c:pt>
                <c:pt idx="47">
                  <c:v>10.727566389963568</c:v>
                </c:pt>
                <c:pt idx="48">
                  <c:v>10.741340971620247</c:v>
                </c:pt>
                <c:pt idx="49">
                  <c:v>10.02375834370404</c:v>
                </c:pt>
                <c:pt idx="50">
                  <c:v>9.27734375</c:v>
                </c:pt>
                <c:pt idx="51">
                  <c:v>8.8660104838405562</c:v>
                </c:pt>
                <c:pt idx="52">
                  <c:v>8.3510800121691524</c:v>
                </c:pt>
                <c:pt idx="53">
                  <c:v>7.8892312373996738</c:v>
                </c:pt>
                <c:pt idx="54">
                  <c:v>7.6677676024620931</c:v>
                </c:pt>
                <c:pt idx="55">
                  <c:v>7.3309395571514058</c:v>
                </c:pt>
                <c:pt idx="56">
                  <c:v>7.3583352047308921</c:v>
                </c:pt>
                <c:pt idx="57">
                  <c:v>6.977874121692329</c:v>
                </c:pt>
                <c:pt idx="58">
                  <c:v>5.5686418844313588</c:v>
                </c:pt>
                <c:pt idx="59">
                  <c:v>5.3732780328840173</c:v>
                </c:pt>
                <c:pt idx="60">
                  <c:v>5.8669264199010938</c:v>
                </c:pt>
                <c:pt idx="61">
                  <c:v>5.647989256136686</c:v>
                </c:pt>
                <c:pt idx="62">
                  <c:v>6.1199600872168221</c:v>
                </c:pt>
                <c:pt idx="63">
                  <c:v>6.9077730937060879</c:v>
                </c:pt>
                <c:pt idx="64">
                  <c:v>8.0923351423685972</c:v>
                </c:pt>
                <c:pt idx="65">
                  <c:v>8.4012144549763015</c:v>
                </c:pt>
                <c:pt idx="66">
                  <c:v>8.7113269322738471</c:v>
                </c:pt>
                <c:pt idx="67">
                  <c:v>8.8931424154304839</c:v>
                </c:pt>
                <c:pt idx="68">
                  <c:v>9.1557451082536634</c:v>
                </c:pt>
                <c:pt idx="69">
                  <c:v>8.6513716502783282</c:v>
                </c:pt>
                <c:pt idx="70">
                  <c:v>8.2795722913740519</c:v>
                </c:pt>
                <c:pt idx="71">
                  <c:v>9.0009268170829788</c:v>
                </c:pt>
                <c:pt idx="72">
                  <c:v>8.9057301293900188</c:v>
                </c:pt>
                <c:pt idx="73">
                  <c:v>8.5618085618085615</c:v>
                </c:pt>
                <c:pt idx="74">
                  <c:v>8.724842847821126</c:v>
                </c:pt>
                <c:pt idx="75">
                  <c:v>9.3708651150131317</c:v>
                </c:pt>
                <c:pt idx="76">
                  <c:v>9.3713278495887185</c:v>
                </c:pt>
                <c:pt idx="77">
                  <c:v>9.4098530172095423</c:v>
                </c:pt>
                <c:pt idx="78">
                  <c:v>9.3284852697180209</c:v>
                </c:pt>
                <c:pt idx="79">
                  <c:v>9.7468365158873436</c:v>
                </c:pt>
                <c:pt idx="80">
                  <c:v>9.7116816867378439</c:v>
                </c:pt>
                <c:pt idx="81">
                  <c:v>8.9261794992335783</c:v>
                </c:pt>
                <c:pt idx="82">
                  <c:v>8.4490121916605592</c:v>
                </c:pt>
                <c:pt idx="83">
                  <c:v>8.1256444681467794</c:v>
                </c:pt>
                <c:pt idx="84">
                  <c:v>7.5320864318818526</c:v>
                </c:pt>
                <c:pt idx="85">
                  <c:v>7.3982891364536192</c:v>
                </c:pt>
                <c:pt idx="86">
                  <c:v>7.2215188143883848</c:v>
                </c:pt>
                <c:pt idx="87">
                  <c:v>6.4425365663857104</c:v>
                </c:pt>
                <c:pt idx="88">
                  <c:v>6.052199675977902</c:v>
                </c:pt>
                <c:pt idx="89">
                  <c:v>5.570496906468998</c:v>
                </c:pt>
                <c:pt idx="90">
                  <c:v>5.2606935799652543</c:v>
                </c:pt>
                <c:pt idx="91">
                  <c:v>4.9693430593576098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914696"/>
        <c:axId val="431673456"/>
      </c:lineChart>
      <c:catAx>
        <c:axId val="430914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31673456"/>
        <c:crosses val="autoZero"/>
        <c:auto val="1"/>
        <c:lblAlgn val="ctr"/>
        <c:lblOffset val="100"/>
        <c:noMultiLvlLbl val="0"/>
      </c:catAx>
      <c:valAx>
        <c:axId val="431673456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309146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630879842998016"/>
          <c:y val="0.61194468961459247"/>
          <c:w val="0.78962803969850004"/>
          <c:h val="0.176342277603649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1539126675313"/>
          <c:y val="0.22366712707182315"/>
          <c:w val="0.8408531488687131"/>
          <c:h val="0.65867480049109883"/>
        </c:manualLayout>
      </c:layout>
      <c:barChart>
        <c:barDir val="col"/>
        <c:grouping val="stacked"/>
        <c:varyColors val="0"/>
        <c:ser>
          <c:idx val="7"/>
          <c:order val="0"/>
          <c:tx>
            <c:v>Hrubý dlh (očistený o EFSF a ESM)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1 + 2'!$K$20:$P$20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+ 2'!$K$22:$P$22</c:f>
              <c:numCache>
                <c:formatCode>0.0</c:formatCode>
                <c:ptCount val="6"/>
                <c:pt idx="0">
                  <c:v>49.253149452010376</c:v>
                </c:pt>
                <c:pt idx="1">
                  <c:v>48.80728421301373</c:v>
                </c:pt>
                <c:pt idx="2">
                  <c:v>48.750704605901639</c:v>
                </c:pt>
                <c:pt idx="3">
                  <c:v>47.09437939669445</c:v>
                </c:pt>
                <c:pt idx="4">
                  <c:v>45.321849152305461</c:v>
                </c:pt>
                <c:pt idx="5">
                  <c:v>43.456875600375923</c:v>
                </c:pt>
              </c:numCache>
            </c:numRef>
          </c:val>
        </c:ser>
        <c:ser>
          <c:idx val="3"/>
          <c:order val="2"/>
          <c:tx>
            <c:strRef>
              <c:f>'Graf 1 + 2'!$J$23</c:f>
              <c:strCache>
                <c:ptCount val="1"/>
                <c:pt idx="0">
                  <c:v>EFSF + ESM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1 + 2'!$K$20:$P$20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+ 2'!$K$23:$P$23</c:f>
              <c:numCache>
                <c:formatCode>0.0</c:formatCode>
                <c:ptCount val="6"/>
                <c:pt idx="0">
                  <c:v>3.2278328389315822</c:v>
                </c:pt>
                <c:pt idx="1">
                  <c:v>3.1372313657053303</c:v>
                </c:pt>
                <c:pt idx="2">
                  <c:v>3.0028722074111593</c:v>
                </c:pt>
                <c:pt idx="3">
                  <c:v>2.8425422165598846</c:v>
                </c:pt>
                <c:pt idx="4">
                  <c:v>2.671460924688887</c:v>
                </c:pt>
                <c:pt idx="5">
                  <c:v>2.5214375153051916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197832"/>
        <c:axId val="547762456"/>
        <c:extLst/>
      </c:barChart>
      <c:lineChart>
        <c:grouping val="standard"/>
        <c:varyColors val="0"/>
        <c:ser>
          <c:idx val="0"/>
          <c:order val="1"/>
          <c:tx>
            <c:strRef>
              <c:f>'Graf 1 + 2'!$J$21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 + 2'!$K$20:$P$20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+ 2'!$K$21:$P$21</c:f>
              <c:numCache>
                <c:formatCode>0.0</c:formatCode>
                <c:ptCount val="6"/>
                <c:pt idx="0">
                  <c:v>52.480982290941959</c:v>
                </c:pt>
                <c:pt idx="1">
                  <c:v>51.944515578719063</c:v>
                </c:pt>
                <c:pt idx="2">
                  <c:v>51.753576813312797</c:v>
                </c:pt>
                <c:pt idx="3">
                  <c:v>49.936921613254334</c:v>
                </c:pt>
                <c:pt idx="4">
                  <c:v>47.993310076994348</c:v>
                </c:pt>
                <c:pt idx="5">
                  <c:v>45.978313115681118</c:v>
                </c:pt>
              </c:numCache>
            </c:numRef>
          </c:val>
          <c:smooth val="0"/>
        </c:ser>
        <c:ser>
          <c:idx val="6"/>
          <c:order val="3"/>
          <c:tx>
            <c:v>Čistý dlh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1 + 2'!$K$20:$P$20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+ 2'!$K$24:$P$24</c:f>
              <c:numCache>
                <c:formatCode>0.0</c:formatCode>
                <c:ptCount val="6"/>
                <c:pt idx="0">
                  <c:v>48.214345627220681</c:v>
                </c:pt>
                <c:pt idx="1">
                  <c:v>47.004140566509029</c:v>
                </c:pt>
                <c:pt idx="2">
                  <c:v>46.852281109816708</c:v>
                </c:pt>
                <c:pt idx="3">
                  <c:v>45.090520052349831</c:v>
                </c:pt>
                <c:pt idx="4">
                  <c:v>42.690731994583544</c:v>
                </c:pt>
                <c:pt idx="5">
                  <c:v>40.516251122907782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97832"/>
        <c:axId val="547762456"/>
      </c:lineChart>
      <c:catAx>
        <c:axId val="428197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7762456"/>
        <c:crosses val="autoZero"/>
        <c:auto val="1"/>
        <c:lblAlgn val="ctr"/>
        <c:lblOffset val="100"/>
        <c:noMultiLvlLbl val="0"/>
      </c:catAx>
      <c:valAx>
        <c:axId val="54776245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2819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9716728317815579E-2"/>
          <c:y val="0"/>
          <c:w val="0.95579658452226546"/>
          <c:h val="0.194431399631675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8,9,10 '!$I$9</c:f>
              <c:strCache>
                <c:ptCount val="1"/>
                <c:pt idx="0">
                  <c:v>Unemployment rate, SA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8,9,10 '!$J$6:$CW$6</c:f>
              <c:strCache>
                <c:ptCount val="92"/>
                <c:pt idx="0">
                  <c:v>1994Q1</c:v>
                </c:pt>
                <c:pt idx="1">
                  <c:v>1994Q2</c:v>
                </c:pt>
                <c:pt idx="2">
                  <c:v>1994Q3</c:v>
                </c:pt>
                <c:pt idx="3">
                  <c:v>1994Q4</c:v>
                </c:pt>
                <c:pt idx="4">
                  <c:v>1995Q1</c:v>
                </c:pt>
                <c:pt idx="5">
                  <c:v>1995Q2</c:v>
                </c:pt>
                <c:pt idx="6">
                  <c:v>1995Q3</c:v>
                </c:pt>
                <c:pt idx="7">
                  <c:v>1995Q4</c:v>
                </c:pt>
                <c:pt idx="8">
                  <c:v>1996Q1</c:v>
                </c:pt>
                <c:pt idx="9">
                  <c:v>1996Q2</c:v>
                </c:pt>
                <c:pt idx="10">
                  <c:v>1996Q3</c:v>
                </c:pt>
                <c:pt idx="11">
                  <c:v>1996Q4</c:v>
                </c:pt>
                <c:pt idx="12">
                  <c:v>1997Q1</c:v>
                </c:pt>
                <c:pt idx="13">
                  <c:v>1997Q2</c:v>
                </c:pt>
                <c:pt idx="14">
                  <c:v>1997Q3</c:v>
                </c:pt>
                <c:pt idx="15">
                  <c:v>1997Q4</c:v>
                </c:pt>
                <c:pt idx="16">
                  <c:v>1998Q1</c:v>
                </c:pt>
                <c:pt idx="17">
                  <c:v>1998Q2</c:v>
                </c:pt>
                <c:pt idx="18">
                  <c:v>1998Q3</c:v>
                </c:pt>
                <c:pt idx="19">
                  <c:v>1998Q4</c:v>
                </c:pt>
                <c:pt idx="20">
                  <c:v>1999Q1</c:v>
                </c:pt>
                <c:pt idx="21">
                  <c:v>1999Q2</c:v>
                </c:pt>
                <c:pt idx="22">
                  <c:v>1999Q3</c:v>
                </c:pt>
                <c:pt idx="23">
                  <c:v>1999Q4</c:v>
                </c:pt>
                <c:pt idx="24">
                  <c:v>2000Q1</c:v>
                </c:pt>
                <c:pt idx="25">
                  <c:v>2000Q2</c:v>
                </c:pt>
                <c:pt idx="26">
                  <c:v>2000Q3</c:v>
                </c:pt>
                <c:pt idx="27">
                  <c:v>2000Q4</c:v>
                </c:pt>
                <c:pt idx="28">
                  <c:v>2001Q1</c:v>
                </c:pt>
                <c:pt idx="29">
                  <c:v>2001Q2</c:v>
                </c:pt>
                <c:pt idx="30">
                  <c:v>2001Q3</c:v>
                </c:pt>
                <c:pt idx="31">
                  <c:v>2001Q4</c:v>
                </c:pt>
                <c:pt idx="32">
                  <c:v>2002Q1</c:v>
                </c:pt>
                <c:pt idx="33">
                  <c:v>2002Q2</c:v>
                </c:pt>
                <c:pt idx="34">
                  <c:v>2002Q3</c:v>
                </c:pt>
                <c:pt idx="35">
                  <c:v>2002Q4</c:v>
                </c:pt>
                <c:pt idx="36">
                  <c:v>2003Q1</c:v>
                </c:pt>
                <c:pt idx="37">
                  <c:v>2003Q2</c:v>
                </c:pt>
                <c:pt idx="38">
                  <c:v>2003Q3</c:v>
                </c:pt>
                <c:pt idx="39">
                  <c:v>2003Q4</c:v>
                </c:pt>
                <c:pt idx="40">
                  <c:v>2004Q1</c:v>
                </c:pt>
                <c:pt idx="41">
                  <c:v>2004Q2</c:v>
                </c:pt>
                <c:pt idx="42">
                  <c:v>2004Q3</c:v>
                </c:pt>
                <c:pt idx="43">
                  <c:v>2004Q4</c:v>
                </c:pt>
                <c:pt idx="44">
                  <c:v>2005Q1</c:v>
                </c:pt>
                <c:pt idx="45">
                  <c:v>2005Q2</c:v>
                </c:pt>
                <c:pt idx="46">
                  <c:v>2005Q3</c:v>
                </c:pt>
                <c:pt idx="47">
                  <c:v>2005Q4</c:v>
                </c:pt>
                <c:pt idx="48">
                  <c:v>2006Q1</c:v>
                </c:pt>
                <c:pt idx="49">
                  <c:v>2006Q2</c:v>
                </c:pt>
                <c:pt idx="50">
                  <c:v>2006Q3</c:v>
                </c:pt>
                <c:pt idx="51">
                  <c:v>2006Q4</c:v>
                </c:pt>
                <c:pt idx="52">
                  <c:v>2007Q1</c:v>
                </c:pt>
                <c:pt idx="53">
                  <c:v>2007Q2</c:v>
                </c:pt>
                <c:pt idx="54">
                  <c:v>2007Q3</c:v>
                </c:pt>
                <c:pt idx="55">
                  <c:v>2007Q4</c:v>
                </c:pt>
                <c:pt idx="56">
                  <c:v>2008Q1</c:v>
                </c:pt>
                <c:pt idx="57">
                  <c:v>2008Q2</c:v>
                </c:pt>
                <c:pt idx="58">
                  <c:v>2008Q3</c:v>
                </c:pt>
                <c:pt idx="59">
                  <c:v>2008Q4</c:v>
                </c:pt>
                <c:pt idx="60">
                  <c:v>2009Q1</c:v>
                </c:pt>
                <c:pt idx="61">
                  <c:v>2009Q2</c:v>
                </c:pt>
                <c:pt idx="62">
                  <c:v>2009Q3</c:v>
                </c:pt>
                <c:pt idx="63">
                  <c:v>2009Q4</c:v>
                </c:pt>
                <c:pt idx="64">
                  <c:v>2010Q1</c:v>
                </c:pt>
                <c:pt idx="65">
                  <c:v>2010Q2</c:v>
                </c:pt>
                <c:pt idx="66">
                  <c:v>2010Q3</c:v>
                </c:pt>
                <c:pt idx="67">
                  <c:v>2010Q4</c:v>
                </c:pt>
                <c:pt idx="68">
                  <c:v>2011Q1</c:v>
                </c:pt>
                <c:pt idx="69">
                  <c:v>2011Q2</c:v>
                </c:pt>
                <c:pt idx="70">
                  <c:v>2011Q3</c:v>
                </c:pt>
                <c:pt idx="71">
                  <c:v>2011Q4</c:v>
                </c:pt>
                <c:pt idx="72">
                  <c:v>2012Q1</c:v>
                </c:pt>
                <c:pt idx="73">
                  <c:v>2012Q2</c:v>
                </c:pt>
                <c:pt idx="74">
                  <c:v>2012Q3</c:v>
                </c:pt>
                <c:pt idx="75">
                  <c:v>2012Q4</c:v>
                </c:pt>
                <c:pt idx="76">
                  <c:v>2013Q1</c:v>
                </c:pt>
                <c:pt idx="77">
                  <c:v>2013Q2</c:v>
                </c:pt>
                <c:pt idx="78">
                  <c:v>2013Q3</c:v>
                </c:pt>
                <c:pt idx="79">
                  <c:v>2013Q4</c:v>
                </c:pt>
                <c:pt idx="80">
                  <c:v>2014Q1</c:v>
                </c:pt>
                <c:pt idx="81">
                  <c:v>2014Q2</c:v>
                </c:pt>
                <c:pt idx="82">
                  <c:v>2014Q3</c:v>
                </c:pt>
                <c:pt idx="83">
                  <c:v>2014Q4</c:v>
                </c:pt>
                <c:pt idx="84">
                  <c:v>2015Q1</c:v>
                </c:pt>
                <c:pt idx="85">
                  <c:v>2015Q2</c:v>
                </c:pt>
                <c:pt idx="86">
                  <c:v>2015Q3</c:v>
                </c:pt>
                <c:pt idx="87">
                  <c:v>2015Q4</c:v>
                </c:pt>
                <c:pt idx="88">
                  <c:v>2016Q1</c:v>
                </c:pt>
                <c:pt idx="89">
                  <c:v>2016Q2</c:v>
                </c:pt>
                <c:pt idx="90">
                  <c:v>2016Q3</c:v>
                </c:pt>
                <c:pt idx="91">
                  <c:v>2016Q4</c:v>
                </c:pt>
              </c:strCache>
            </c:strRef>
          </c:cat>
          <c:val>
            <c:numRef>
              <c:f>'Graf 8,9,10 '!$J$7:$CW$7</c:f>
              <c:numCache>
                <c:formatCode>0.0</c:formatCode>
                <c:ptCount val="92"/>
                <c:pt idx="0">
                  <c:v>13.169560014099169</c:v>
                </c:pt>
                <c:pt idx="1">
                  <c:v>13.582809306230503</c:v>
                </c:pt>
                <c:pt idx="2">
                  <c:v>13.730564682467456</c:v>
                </c:pt>
                <c:pt idx="3">
                  <c:v>14.149146648061434</c:v>
                </c:pt>
                <c:pt idx="4">
                  <c:v>13.843940196159343</c:v>
                </c:pt>
                <c:pt idx="5">
                  <c:v>13.446388758028846</c:v>
                </c:pt>
                <c:pt idx="6">
                  <c:v>12.723425323029472</c:v>
                </c:pt>
                <c:pt idx="7">
                  <c:v>12.473809208195844</c:v>
                </c:pt>
                <c:pt idx="8">
                  <c:v>11.734865627396598</c:v>
                </c:pt>
                <c:pt idx="9">
                  <c:v>11.350197768703438</c:v>
                </c:pt>
                <c:pt idx="10">
                  <c:v>11.15085577889675</c:v>
                </c:pt>
                <c:pt idx="11">
                  <c:v>11.121817703716008</c:v>
                </c:pt>
                <c:pt idx="12">
                  <c:v>11.484254373539784</c:v>
                </c:pt>
                <c:pt idx="13">
                  <c:v>11.599393077224708</c:v>
                </c:pt>
                <c:pt idx="14">
                  <c:v>12.246805629612673</c:v>
                </c:pt>
                <c:pt idx="15">
                  <c:v>12.22126902178662</c:v>
                </c:pt>
                <c:pt idx="16">
                  <c:v>12.120053914763286</c:v>
                </c:pt>
                <c:pt idx="17">
                  <c:v>12.308883282802039</c:v>
                </c:pt>
                <c:pt idx="18">
                  <c:v>13.035022879202227</c:v>
                </c:pt>
                <c:pt idx="19">
                  <c:v>13.060194323937877</c:v>
                </c:pt>
                <c:pt idx="20">
                  <c:v>14.816523254193873</c:v>
                </c:pt>
                <c:pt idx="21">
                  <c:v>15.986507021591912</c:v>
                </c:pt>
                <c:pt idx="22">
                  <c:v>16.997061540293558</c:v>
                </c:pt>
                <c:pt idx="23">
                  <c:v>17.663178016293301</c:v>
                </c:pt>
                <c:pt idx="24">
                  <c:v>18.456682366977851</c:v>
                </c:pt>
                <c:pt idx="25">
                  <c:v>19.09087468041584</c:v>
                </c:pt>
                <c:pt idx="26">
                  <c:v>18.881900476792211</c:v>
                </c:pt>
                <c:pt idx="27">
                  <c:v>18.617729968987373</c:v>
                </c:pt>
                <c:pt idx="28">
                  <c:v>19.254354207355512</c:v>
                </c:pt>
                <c:pt idx="29">
                  <c:v>19.383548607019804</c:v>
                </c:pt>
                <c:pt idx="30">
                  <c:v>19.403360891112456</c:v>
                </c:pt>
                <c:pt idx="31">
                  <c:v>19.182425675540035</c:v>
                </c:pt>
                <c:pt idx="32">
                  <c:v>18.812174348532892</c:v>
                </c:pt>
                <c:pt idx="33">
                  <c:v>18.707877382504428</c:v>
                </c:pt>
                <c:pt idx="34">
                  <c:v>18.628565551840349</c:v>
                </c:pt>
                <c:pt idx="35">
                  <c:v>18.352274947048798</c:v>
                </c:pt>
                <c:pt idx="36">
                  <c:v>17.805909548226971</c:v>
                </c:pt>
                <c:pt idx="37">
                  <c:v>17.156219281377876</c:v>
                </c:pt>
                <c:pt idx="38">
                  <c:v>17.340735107259775</c:v>
                </c:pt>
                <c:pt idx="39">
                  <c:v>17.657494167155761</c:v>
                </c:pt>
                <c:pt idx="40">
                  <c:v>18.775706480297107</c:v>
                </c:pt>
                <c:pt idx="41">
                  <c:v>18.617569912617505</c:v>
                </c:pt>
                <c:pt idx="42">
                  <c:v>17.780275845106843</c:v>
                </c:pt>
                <c:pt idx="43">
                  <c:v>17.322952986895814</c:v>
                </c:pt>
                <c:pt idx="44">
                  <c:v>16.984589743107005</c:v>
                </c:pt>
                <c:pt idx="45">
                  <c:v>16.295423753100351</c:v>
                </c:pt>
                <c:pt idx="46">
                  <c:v>15.881828309723714</c:v>
                </c:pt>
                <c:pt idx="47">
                  <c:v>15.501958560085793</c:v>
                </c:pt>
                <c:pt idx="48">
                  <c:v>14.444944131072269</c:v>
                </c:pt>
                <c:pt idx="49">
                  <c:v>13.572490171569651</c:v>
                </c:pt>
                <c:pt idx="50">
                  <c:v>13.019509140448147</c:v>
                </c:pt>
                <c:pt idx="51">
                  <c:v>12.202106263516836</c:v>
                </c:pt>
                <c:pt idx="52">
                  <c:v>11.083239303854739</c:v>
                </c:pt>
                <c:pt idx="53">
                  <c:v>11.179676183512985</c:v>
                </c:pt>
                <c:pt idx="54">
                  <c:v>11.331076895924681</c:v>
                </c:pt>
                <c:pt idx="55">
                  <c:v>10.447076790865136</c:v>
                </c:pt>
                <c:pt idx="56">
                  <c:v>10.116098880429233</c:v>
                </c:pt>
                <c:pt idx="57">
                  <c:v>10.236472398162217</c:v>
                </c:pt>
                <c:pt idx="58">
                  <c:v>9.111612681509456</c:v>
                </c:pt>
                <c:pt idx="59">
                  <c:v>8.8047151956520082</c:v>
                </c:pt>
                <c:pt idx="60">
                  <c:v>10.107429057308163</c:v>
                </c:pt>
                <c:pt idx="61">
                  <c:v>11.399979571986879</c:v>
                </c:pt>
                <c:pt idx="62">
                  <c:v>12.706665021325126</c:v>
                </c:pt>
                <c:pt idx="63">
                  <c:v>13.954926853278279</c:v>
                </c:pt>
                <c:pt idx="64">
                  <c:v>14.702688264382507</c:v>
                </c:pt>
                <c:pt idx="65">
                  <c:v>14.527512569859413</c:v>
                </c:pt>
                <c:pt idx="66">
                  <c:v>14.317086678503459</c:v>
                </c:pt>
                <c:pt idx="67">
                  <c:v>13.906399920990028</c:v>
                </c:pt>
                <c:pt idx="68">
                  <c:v>13.525139707419612</c:v>
                </c:pt>
                <c:pt idx="69">
                  <c:v>13.428786383678338</c:v>
                </c:pt>
                <c:pt idx="70">
                  <c:v>13.437129459218427</c:v>
                </c:pt>
                <c:pt idx="71">
                  <c:v>13.975967135707879</c:v>
                </c:pt>
                <c:pt idx="72">
                  <c:v>13.692884344111715</c:v>
                </c:pt>
                <c:pt idx="73">
                  <c:v>13.854253255422332</c:v>
                </c:pt>
                <c:pt idx="74">
                  <c:v>13.89876372683077</c:v>
                </c:pt>
                <c:pt idx="75">
                  <c:v>14.310422541447162</c:v>
                </c:pt>
                <c:pt idx="76">
                  <c:v>14.214079401740534</c:v>
                </c:pt>
                <c:pt idx="77">
                  <c:v>14.268926248101257</c:v>
                </c:pt>
                <c:pt idx="78">
                  <c:v>14.2668494409121</c:v>
                </c:pt>
                <c:pt idx="79">
                  <c:v>14.100010166882907</c:v>
                </c:pt>
                <c:pt idx="80">
                  <c:v>13.803265256226402</c:v>
                </c:pt>
                <c:pt idx="81">
                  <c:v>13.409243667769291</c:v>
                </c:pt>
                <c:pt idx="82">
                  <c:v>13.044917210098744</c:v>
                </c:pt>
                <c:pt idx="83">
                  <c:v>12.462149467739327</c:v>
                </c:pt>
                <c:pt idx="84">
                  <c:v>12.174551474158836</c:v>
                </c:pt>
                <c:pt idx="85">
                  <c:v>11.525508512776996</c:v>
                </c:pt>
                <c:pt idx="86">
                  <c:v>11.3510213619368</c:v>
                </c:pt>
                <c:pt idx="87">
                  <c:v>10.84836882277872</c:v>
                </c:pt>
                <c:pt idx="88">
                  <c:v>10.145083706069</c:v>
                </c:pt>
                <c:pt idx="89">
                  <c:v>9.9168461889053212</c:v>
                </c:pt>
                <c:pt idx="90">
                  <c:v>9.5188207244867016</c:v>
                </c:pt>
                <c:pt idx="91">
                  <c:v>8.9926769188407718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8,9,10 '!$I$10</c:f>
              <c:strCache>
                <c:ptCount val="1"/>
                <c:pt idx="0">
                  <c:v>Long-term unemployment rate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8,9,10 '!$J$6:$CW$6</c:f>
              <c:strCache>
                <c:ptCount val="92"/>
                <c:pt idx="0">
                  <c:v>1994Q1</c:v>
                </c:pt>
                <c:pt idx="1">
                  <c:v>1994Q2</c:v>
                </c:pt>
                <c:pt idx="2">
                  <c:v>1994Q3</c:v>
                </c:pt>
                <c:pt idx="3">
                  <c:v>1994Q4</c:v>
                </c:pt>
                <c:pt idx="4">
                  <c:v>1995Q1</c:v>
                </c:pt>
                <c:pt idx="5">
                  <c:v>1995Q2</c:v>
                </c:pt>
                <c:pt idx="6">
                  <c:v>1995Q3</c:v>
                </c:pt>
                <c:pt idx="7">
                  <c:v>1995Q4</c:v>
                </c:pt>
                <c:pt idx="8">
                  <c:v>1996Q1</c:v>
                </c:pt>
                <c:pt idx="9">
                  <c:v>1996Q2</c:v>
                </c:pt>
                <c:pt idx="10">
                  <c:v>1996Q3</c:v>
                </c:pt>
                <c:pt idx="11">
                  <c:v>1996Q4</c:v>
                </c:pt>
                <c:pt idx="12">
                  <c:v>1997Q1</c:v>
                </c:pt>
                <c:pt idx="13">
                  <c:v>1997Q2</c:v>
                </c:pt>
                <c:pt idx="14">
                  <c:v>1997Q3</c:v>
                </c:pt>
                <c:pt idx="15">
                  <c:v>1997Q4</c:v>
                </c:pt>
                <c:pt idx="16">
                  <c:v>1998Q1</c:v>
                </c:pt>
                <c:pt idx="17">
                  <c:v>1998Q2</c:v>
                </c:pt>
                <c:pt idx="18">
                  <c:v>1998Q3</c:v>
                </c:pt>
                <c:pt idx="19">
                  <c:v>1998Q4</c:v>
                </c:pt>
                <c:pt idx="20">
                  <c:v>1999Q1</c:v>
                </c:pt>
                <c:pt idx="21">
                  <c:v>1999Q2</c:v>
                </c:pt>
                <c:pt idx="22">
                  <c:v>1999Q3</c:v>
                </c:pt>
                <c:pt idx="23">
                  <c:v>1999Q4</c:v>
                </c:pt>
                <c:pt idx="24">
                  <c:v>2000Q1</c:v>
                </c:pt>
                <c:pt idx="25">
                  <c:v>2000Q2</c:v>
                </c:pt>
                <c:pt idx="26">
                  <c:v>2000Q3</c:v>
                </c:pt>
                <c:pt idx="27">
                  <c:v>2000Q4</c:v>
                </c:pt>
                <c:pt idx="28">
                  <c:v>2001Q1</c:v>
                </c:pt>
                <c:pt idx="29">
                  <c:v>2001Q2</c:v>
                </c:pt>
                <c:pt idx="30">
                  <c:v>2001Q3</c:v>
                </c:pt>
                <c:pt idx="31">
                  <c:v>2001Q4</c:v>
                </c:pt>
                <c:pt idx="32">
                  <c:v>2002Q1</c:v>
                </c:pt>
                <c:pt idx="33">
                  <c:v>2002Q2</c:v>
                </c:pt>
                <c:pt idx="34">
                  <c:v>2002Q3</c:v>
                </c:pt>
                <c:pt idx="35">
                  <c:v>2002Q4</c:v>
                </c:pt>
                <c:pt idx="36">
                  <c:v>2003Q1</c:v>
                </c:pt>
                <c:pt idx="37">
                  <c:v>2003Q2</c:v>
                </c:pt>
                <c:pt idx="38">
                  <c:v>2003Q3</c:v>
                </c:pt>
                <c:pt idx="39">
                  <c:v>2003Q4</c:v>
                </c:pt>
                <c:pt idx="40">
                  <c:v>2004Q1</c:v>
                </c:pt>
                <c:pt idx="41">
                  <c:v>2004Q2</c:v>
                </c:pt>
                <c:pt idx="42">
                  <c:v>2004Q3</c:v>
                </c:pt>
                <c:pt idx="43">
                  <c:v>2004Q4</c:v>
                </c:pt>
                <c:pt idx="44">
                  <c:v>2005Q1</c:v>
                </c:pt>
                <c:pt idx="45">
                  <c:v>2005Q2</c:v>
                </c:pt>
                <c:pt idx="46">
                  <c:v>2005Q3</c:v>
                </c:pt>
                <c:pt idx="47">
                  <c:v>2005Q4</c:v>
                </c:pt>
                <c:pt idx="48">
                  <c:v>2006Q1</c:v>
                </c:pt>
                <c:pt idx="49">
                  <c:v>2006Q2</c:v>
                </c:pt>
                <c:pt idx="50">
                  <c:v>2006Q3</c:v>
                </c:pt>
                <c:pt idx="51">
                  <c:v>2006Q4</c:v>
                </c:pt>
                <c:pt idx="52">
                  <c:v>2007Q1</c:v>
                </c:pt>
                <c:pt idx="53">
                  <c:v>2007Q2</c:v>
                </c:pt>
                <c:pt idx="54">
                  <c:v>2007Q3</c:v>
                </c:pt>
                <c:pt idx="55">
                  <c:v>2007Q4</c:v>
                </c:pt>
                <c:pt idx="56">
                  <c:v>2008Q1</c:v>
                </c:pt>
                <c:pt idx="57">
                  <c:v>2008Q2</c:v>
                </c:pt>
                <c:pt idx="58">
                  <c:v>2008Q3</c:v>
                </c:pt>
                <c:pt idx="59">
                  <c:v>2008Q4</c:v>
                </c:pt>
                <c:pt idx="60">
                  <c:v>2009Q1</c:v>
                </c:pt>
                <c:pt idx="61">
                  <c:v>2009Q2</c:v>
                </c:pt>
                <c:pt idx="62">
                  <c:v>2009Q3</c:v>
                </c:pt>
                <c:pt idx="63">
                  <c:v>2009Q4</c:v>
                </c:pt>
                <c:pt idx="64">
                  <c:v>2010Q1</c:v>
                </c:pt>
                <c:pt idx="65">
                  <c:v>2010Q2</c:v>
                </c:pt>
                <c:pt idx="66">
                  <c:v>2010Q3</c:v>
                </c:pt>
                <c:pt idx="67">
                  <c:v>2010Q4</c:v>
                </c:pt>
                <c:pt idx="68">
                  <c:v>2011Q1</c:v>
                </c:pt>
                <c:pt idx="69">
                  <c:v>2011Q2</c:v>
                </c:pt>
                <c:pt idx="70">
                  <c:v>2011Q3</c:v>
                </c:pt>
                <c:pt idx="71">
                  <c:v>2011Q4</c:v>
                </c:pt>
                <c:pt idx="72">
                  <c:v>2012Q1</c:v>
                </c:pt>
                <c:pt idx="73">
                  <c:v>2012Q2</c:v>
                </c:pt>
                <c:pt idx="74">
                  <c:v>2012Q3</c:v>
                </c:pt>
                <c:pt idx="75">
                  <c:v>2012Q4</c:v>
                </c:pt>
                <c:pt idx="76">
                  <c:v>2013Q1</c:v>
                </c:pt>
                <c:pt idx="77">
                  <c:v>2013Q2</c:v>
                </c:pt>
                <c:pt idx="78">
                  <c:v>2013Q3</c:v>
                </c:pt>
                <c:pt idx="79">
                  <c:v>2013Q4</c:v>
                </c:pt>
                <c:pt idx="80">
                  <c:v>2014Q1</c:v>
                </c:pt>
                <c:pt idx="81">
                  <c:v>2014Q2</c:v>
                </c:pt>
                <c:pt idx="82">
                  <c:v>2014Q3</c:v>
                </c:pt>
                <c:pt idx="83">
                  <c:v>2014Q4</c:v>
                </c:pt>
                <c:pt idx="84">
                  <c:v>2015Q1</c:v>
                </c:pt>
                <c:pt idx="85">
                  <c:v>2015Q2</c:v>
                </c:pt>
                <c:pt idx="86">
                  <c:v>2015Q3</c:v>
                </c:pt>
                <c:pt idx="87">
                  <c:v>2015Q4</c:v>
                </c:pt>
                <c:pt idx="88">
                  <c:v>2016Q1</c:v>
                </c:pt>
                <c:pt idx="89">
                  <c:v>2016Q2</c:v>
                </c:pt>
                <c:pt idx="90">
                  <c:v>2016Q3</c:v>
                </c:pt>
                <c:pt idx="91">
                  <c:v>2016Q4</c:v>
                </c:pt>
              </c:strCache>
            </c:strRef>
          </c:cat>
          <c:val>
            <c:numRef>
              <c:f>'Graf 8,9,10 '!$J$8:$CW$8</c:f>
              <c:numCache>
                <c:formatCode>0.0</c:formatCode>
                <c:ptCount val="92"/>
                <c:pt idx="0">
                  <c:v>4.6612244897959174</c:v>
                </c:pt>
                <c:pt idx="1">
                  <c:v>5.2885011112025673</c:v>
                </c:pt>
                <c:pt idx="2">
                  <c:v>6.0661915294503164</c:v>
                </c:pt>
                <c:pt idx="3">
                  <c:v>6.7739963317709391</c:v>
                </c:pt>
                <c:pt idx="4">
                  <c:v>7.3814916680148848</c:v>
                </c:pt>
                <c:pt idx="5">
                  <c:v>7.1448857873169151</c:v>
                </c:pt>
                <c:pt idx="6">
                  <c:v>6.7791796827457524</c:v>
                </c:pt>
                <c:pt idx="7">
                  <c:v>6.5809105205855065</c:v>
                </c:pt>
                <c:pt idx="8">
                  <c:v>6.0735194551754352</c:v>
                </c:pt>
                <c:pt idx="9">
                  <c:v>6.0331704190369368</c:v>
                </c:pt>
                <c:pt idx="10">
                  <c:v>5.5409810000794986</c:v>
                </c:pt>
                <c:pt idx="11">
                  <c:v>5.7211060274517607</c:v>
                </c:pt>
                <c:pt idx="12">
                  <c:v>5.7966411243895664</c:v>
                </c:pt>
                <c:pt idx="13">
                  <c:v>5.823607267476838</c:v>
                </c:pt>
                <c:pt idx="14">
                  <c:v>6.1653414312542463</c:v>
                </c:pt>
                <c:pt idx="15">
                  <c:v>6.0914111902665491</c:v>
                </c:pt>
                <c:pt idx="16">
                  <c:v>6.3237807544020033</c:v>
                </c:pt>
                <c:pt idx="17">
                  <c:v>6.3345167338146711</c:v>
                </c:pt>
                <c:pt idx="18">
                  <c:v>6.529236868186322</c:v>
                </c:pt>
                <c:pt idx="19">
                  <c:v>6.3599888769713591</c:v>
                </c:pt>
                <c:pt idx="20">
                  <c:v>7.0700337228452677</c:v>
                </c:pt>
                <c:pt idx="21">
                  <c:v>7.4006792512439761</c:v>
                </c:pt>
                <c:pt idx="22">
                  <c:v>7.8551859099804302</c:v>
                </c:pt>
                <c:pt idx="23">
                  <c:v>8.3261668360566041</c:v>
                </c:pt>
                <c:pt idx="24">
                  <c:v>9.5333745364647733</c:v>
                </c:pt>
                <c:pt idx="25">
                  <c:v>10.259498096495999</c:v>
                </c:pt>
                <c:pt idx="26">
                  <c:v>10.387955993051536</c:v>
                </c:pt>
                <c:pt idx="27">
                  <c:v>10.269457615357926</c:v>
                </c:pt>
                <c:pt idx="28">
                  <c:v>10.63286313381624</c:v>
                </c:pt>
                <c:pt idx="29">
                  <c:v>10.695390705286796</c:v>
                </c:pt>
                <c:pt idx="30">
                  <c:v>10.79781999848611</c:v>
                </c:pt>
                <c:pt idx="31">
                  <c:v>10.857598420712957</c:v>
                </c:pt>
                <c:pt idx="32">
                  <c:v>11.299024296919837</c:v>
                </c:pt>
                <c:pt idx="33">
                  <c:v>11.306822552111377</c:v>
                </c:pt>
                <c:pt idx="34">
                  <c:v>11.213382729251805</c:v>
                </c:pt>
                <c:pt idx="35">
                  <c:v>10.7722802470077</c:v>
                </c:pt>
                <c:pt idx="36">
                  <c:v>11.184235699253875</c:v>
                </c:pt>
                <c:pt idx="37">
                  <c:v>10.558294164851542</c:v>
                </c:pt>
                <c:pt idx="38">
                  <c:v>10.547482642182343</c:v>
                </c:pt>
                <c:pt idx="39">
                  <c:v>10.529519172245891</c:v>
                </c:pt>
                <c:pt idx="40">
                  <c:v>11.248721736166344</c:v>
                </c:pt>
                <c:pt idx="41">
                  <c:v>11.172528679059553</c:v>
                </c:pt>
                <c:pt idx="42">
                  <c:v>10.645475672839043</c:v>
                </c:pt>
                <c:pt idx="43">
                  <c:v>10.870465930920185</c:v>
                </c:pt>
                <c:pt idx="44">
                  <c:v>11.503050051149927</c:v>
                </c:pt>
                <c:pt idx="45">
                  <c:v>11.029327638152626</c:v>
                </c:pt>
                <c:pt idx="46">
                  <c:v>10.797147923190101</c:v>
                </c:pt>
                <c:pt idx="47">
                  <c:v>10.727566389963568</c:v>
                </c:pt>
                <c:pt idx="48">
                  <c:v>10.741340971620247</c:v>
                </c:pt>
                <c:pt idx="49">
                  <c:v>10.02375834370404</c:v>
                </c:pt>
                <c:pt idx="50">
                  <c:v>9.27734375</c:v>
                </c:pt>
                <c:pt idx="51">
                  <c:v>8.8660104838405562</c:v>
                </c:pt>
                <c:pt idx="52">
                  <c:v>8.3510800121691524</c:v>
                </c:pt>
                <c:pt idx="53">
                  <c:v>7.8892312373996738</c:v>
                </c:pt>
                <c:pt idx="54">
                  <c:v>7.6677676024620931</c:v>
                </c:pt>
                <c:pt idx="55">
                  <c:v>7.3309395571514058</c:v>
                </c:pt>
                <c:pt idx="56">
                  <c:v>7.3583352047308921</c:v>
                </c:pt>
                <c:pt idx="57">
                  <c:v>6.977874121692329</c:v>
                </c:pt>
                <c:pt idx="58">
                  <c:v>5.5686418844313588</c:v>
                </c:pt>
                <c:pt idx="59">
                  <c:v>5.3732780328840173</c:v>
                </c:pt>
                <c:pt idx="60">
                  <c:v>5.8669264199010938</c:v>
                </c:pt>
                <c:pt idx="61">
                  <c:v>5.647989256136686</c:v>
                </c:pt>
                <c:pt idx="62">
                  <c:v>6.1199600872168221</c:v>
                </c:pt>
                <c:pt idx="63">
                  <c:v>6.9077730937060879</c:v>
                </c:pt>
                <c:pt idx="64">
                  <c:v>8.0923351423685972</c:v>
                </c:pt>
                <c:pt idx="65">
                  <c:v>8.4012144549763015</c:v>
                </c:pt>
                <c:pt idx="66">
                  <c:v>8.7113269322738471</c:v>
                </c:pt>
                <c:pt idx="67">
                  <c:v>8.8931424154304839</c:v>
                </c:pt>
                <c:pt idx="68">
                  <c:v>9.1557451082536634</c:v>
                </c:pt>
                <c:pt idx="69">
                  <c:v>8.6513716502783282</c:v>
                </c:pt>
                <c:pt idx="70">
                  <c:v>8.2795722913740519</c:v>
                </c:pt>
                <c:pt idx="71">
                  <c:v>9.0009268170829788</c:v>
                </c:pt>
                <c:pt idx="72">
                  <c:v>8.9057301293900188</c:v>
                </c:pt>
                <c:pt idx="73">
                  <c:v>8.5618085618085615</c:v>
                </c:pt>
                <c:pt idx="74">
                  <c:v>8.724842847821126</c:v>
                </c:pt>
                <c:pt idx="75">
                  <c:v>9.3708651150131317</c:v>
                </c:pt>
                <c:pt idx="76">
                  <c:v>9.3713278495887185</c:v>
                </c:pt>
                <c:pt idx="77">
                  <c:v>9.4098530172095423</c:v>
                </c:pt>
                <c:pt idx="78">
                  <c:v>9.3284852697180209</c:v>
                </c:pt>
                <c:pt idx="79">
                  <c:v>9.7468365158873436</c:v>
                </c:pt>
                <c:pt idx="80">
                  <c:v>9.7116816867378439</c:v>
                </c:pt>
                <c:pt idx="81">
                  <c:v>8.9261794992335783</c:v>
                </c:pt>
                <c:pt idx="82">
                  <c:v>8.4490121916605592</c:v>
                </c:pt>
                <c:pt idx="83">
                  <c:v>8.1256444681467794</c:v>
                </c:pt>
                <c:pt idx="84">
                  <c:v>7.5320864318818526</c:v>
                </c:pt>
                <c:pt idx="85">
                  <c:v>7.3982891364536192</c:v>
                </c:pt>
                <c:pt idx="86">
                  <c:v>7.2215188143883848</c:v>
                </c:pt>
                <c:pt idx="87">
                  <c:v>6.4425365663857104</c:v>
                </c:pt>
                <c:pt idx="88">
                  <c:v>6.052199675977902</c:v>
                </c:pt>
                <c:pt idx="89">
                  <c:v>5.570496906468998</c:v>
                </c:pt>
                <c:pt idx="90">
                  <c:v>5.2606935799652543</c:v>
                </c:pt>
                <c:pt idx="91">
                  <c:v>4.9693430593576098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74240"/>
        <c:axId val="431674632"/>
      </c:lineChart>
      <c:catAx>
        <c:axId val="43167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31674632"/>
        <c:crosses val="autoZero"/>
        <c:auto val="1"/>
        <c:lblAlgn val="ctr"/>
        <c:lblOffset val="100"/>
        <c:noMultiLvlLbl val="0"/>
      </c:catAx>
      <c:valAx>
        <c:axId val="431674632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31674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630879842998016"/>
          <c:y val="0.61194468961459247"/>
          <c:w val="0.78962803969850004"/>
          <c:h val="0.176342277603649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'Graf 11+12 '!$G$13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numRef>
              <c:f>'Graf 11+12 '!$H$11:$AE$11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 11+12 '!$H$13:$AE$13</c:f>
              <c:numCache>
                <c:formatCode>0.0</c:formatCode>
                <c:ptCount val="24"/>
                <c:pt idx="0">
                  <c:v>0.21444124806373835</c:v>
                </c:pt>
                <c:pt idx="1">
                  <c:v>9.5356457564574351E-2</c:v>
                </c:pt>
                <c:pt idx="2">
                  <c:v>0.18587650313536475</c:v>
                </c:pt>
                <c:pt idx="3">
                  <c:v>0.17122461900905012</c:v>
                </c:pt>
                <c:pt idx="4">
                  <c:v>0.22801411764705226</c:v>
                </c:pt>
                <c:pt idx="5">
                  <c:v>0.15647207339449698</c:v>
                </c:pt>
                <c:pt idx="6">
                  <c:v>0.14706447349096191</c:v>
                </c:pt>
                <c:pt idx="7">
                  <c:v>0.11392329169728375</c:v>
                </c:pt>
                <c:pt idx="8">
                  <c:v>-5.6957460877232635E-2</c:v>
                </c:pt>
                <c:pt idx="9">
                  <c:v>-0.17515556532571375</c:v>
                </c:pt>
                <c:pt idx="10">
                  <c:v>-7.5770708107310722E-2</c:v>
                </c:pt>
                <c:pt idx="11">
                  <c:v>-3.8013533392180887E-2</c:v>
                </c:pt>
                <c:pt idx="12">
                  <c:v>-1.8921923246588479E-2</c:v>
                </c:pt>
                <c:pt idx="13">
                  <c:v>0.13276580692705217</c:v>
                </c:pt>
                <c:pt idx="14">
                  <c:v>2.3666323377969669E-2</c:v>
                </c:pt>
                <c:pt idx="15">
                  <c:v>0.18898303840223252</c:v>
                </c:pt>
                <c:pt idx="16">
                  <c:v>5.6574443141852893E-2</c:v>
                </c:pt>
                <c:pt idx="17">
                  <c:v>6.5955191096779692E-2</c:v>
                </c:pt>
                <c:pt idx="18">
                  <c:v>-1.4142574547588434E-2</c:v>
                </c:pt>
                <c:pt idx="19">
                  <c:v>4.247440222972327E-2</c:v>
                </c:pt>
                <c:pt idx="20">
                  <c:v>0.28862298698433481</c:v>
                </c:pt>
                <c:pt idx="21">
                  <c:v>0.41130991917707349</c:v>
                </c:pt>
                <c:pt idx="22">
                  <c:v>0.34471686481726405</c:v>
                </c:pt>
                <c:pt idx="23">
                  <c:v>0.55877185752134739</c:v>
                </c:pt>
              </c:numCache>
            </c:numRef>
          </c:val>
        </c:ser>
        <c:ser>
          <c:idx val="2"/>
          <c:order val="2"/>
          <c:tx>
            <c:strRef>
              <c:f>'Graf 11+12 '!$G$14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numRef>
              <c:f>'Graf 11+12 '!$H$11:$AE$11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 11+12 '!$H$14:$AE$14</c:f>
              <c:numCache>
                <c:formatCode>0.0</c:formatCode>
                <c:ptCount val="24"/>
                <c:pt idx="0">
                  <c:v>-0.32305545203845737</c:v>
                </c:pt>
                <c:pt idx="1">
                  <c:v>-0.28689107503553368</c:v>
                </c:pt>
                <c:pt idx="2">
                  <c:v>-0.21067209668943776</c:v>
                </c:pt>
                <c:pt idx="3">
                  <c:v>-1.6659989417190244E-2</c:v>
                </c:pt>
                <c:pt idx="4">
                  <c:v>9.8964975303098991E-3</c:v>
                </c:pt>
                <c:pt idx="5">
                  <c:v>5.2836679652383561E-2</c:v>
                </c:pt>
                <c:pt idx="6">
                  <c:v>-4.7654171066527022E-2</c:v>
                </c:pt>
                <c:pt idx="7">
                  <c:v>-1.0082882195959838E-2</c:v>
                </c:pt>
                <c:pt idx="8">
                  <c:v>4.8335934511512385E-2</c:v>
                </c:pt>
                <c:pt idx="9">
                  <c:v>0.11856478635105851</c:v>
                </c:pt>
                <c:pt idx="10">
                  <c:v>5.8785565899823387E-2</c:v>
                </c:pt>
                <c:pt idx="11">
                  <c:v>-8.1376615384614701E-2</c:v>
                </c:pt>
                <c:pt idx="12">
                  <c:v>-5.8764985995524585E-2</c:v>
                </c:pt>
                <c:pt idx="13">
                  <c:v>1.8370532580499935E-2</c:v>
                </c:pt>
                <c:pt idx="14">
                  <c:v>-2.026715917745495E-2</c:v>
                </c:pt>
                <c:pt idx="15">
                  <c:v>-9.7024973512938609E-2</c:v>
                </c:pt>
                <c:pt idx="16">
                  <c:v>-0.32110567646398863</c:v>
                </c:pt>
                <c:pt idx="17">
                  <c:v>-0.30492624664078866</c:v>
                </c:pt>
                <c:pt idx="18">
                  <c:v>-0.18501036700718967</c:v>
                </c:pt>
                <c:pt idx="19">
                  <c:v>-0.1694866473370982</c:v>
                </c:pt>
                <c:pt idx="20">
                  <c:v>-0.20121366478572283</c:v>
                </c:pt>
                <c:pt idx="21">
                  <c:v>-0.20116764504078435</c:v>
                </c:pt>
                <c:pt idx="22">
                  <c:v>-5.5980688175340756E-2</c:v>
                </c:pt>
                <c:pt idx="23">
                  <c:v>0.12915346534653641</c:v>
                </c:pt>
              </c:numCache>
            </c:numRef>
          </c:val>
        </c:ser>
        <c:ser>
          <c:idx val="3"/>
          <c:order val="3"/>
          <c:tx>
            <c:strRef>
              <c:f>'Graf 11+12 '!$G$15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cat>
            <c:numRef>
              <c:f>'Graf 11+12 '!$H$11:$AE$11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 11+12 '!$H$15:$AE$15</c:f>
              <c:numCache>
                <c:formatCode>0.0</c:formatCode>
                <c:ptCount val="24"/>
                <c:pt idx="0">
                  <c:v>-0.27234274097106048</c:v>
                </c:pt>
                <c:pt idx="1">
                  <c:v>-0.27147417297728038</c:v>
                </c:pt>
                <c:pt idx="2">
                  <c:v>-0.27472002390914502</c:v>
                </c:pt>
                <c:pt idx="3">
                  <c:v>-0.27067059948979644</c:v>
                </c:pt>
                <c:pt idx="4">
                  <c:v>-0.27227761836441722</c:v>
                </c:pt>
                <c:pt idx="5">
                  <c:v>-0.26896656438050626</c:v>
                </c:pt>
                <c:pt idx="6">
                  <c:v>-0.27545719635103438</c:v>
                </c:pt>
                <c:pt idx="7">
                  <c:v>-0.27618290060528772</c:v>
                </c:pt>
                <c:pt idx="8">
                  <c:v>-0.49724616543141303</c:v>
                </c:pt>
                <c:pt idx="9">
                  <c:v>-0.49140501664289082</c:v>
                </c:pt>
                <c:pt idx="10">
                  <c:v>-0.40775016910038719</c:v>
                </c:pt>
                <c:pt idx="11">
                  <c:v>-0.36646860423394484</c:v>
                </c:pt>
                <c:pt idx="12">
                  <c:v>-0.23382985942801682</c:v>
                </c:pt>
                <c:pt idx="13">
                  <c:v>-0.23043091959129361</c:v>
                </c:pt>
                <c:pt idx="14">
                  <c:v>-0.22539423309910328</c:v>
                </c:pt>
                <c:pt idx="15">
                  <c:v>-0.2153568659127616</c:v>
                </c:pt>
                <c:pt idx="16">
                  <c:v>-0.21450157499394235</c:v>
                </c:pt>
                <c:pt idx="17">
                  <c:v>-0.21780918157225304</c:v>
                </c:pt>
                <c:pt idx="18">
                  <c:v>-0.38197295005854043</c:v>
                </c:pt>
                <c:pt idx="19">
                  <c:v>-0.38603656617023901</c:v>
                </c:pt>
                <c:pt idx="20">
                  <c:v>-0.24939727918781862</c:v>
                </c:pt>
                <c:pt idx="21">
                  <c:v>-0.20127336932256551</c:v>
                </c:pt>
                <c:pt idx="22">
                  <c:v>-0.19873885867359209</c:v>
                </c:pt>
                <c:pt idx="23">
                  <c:v>-0.19788871301594999</c:v>
                </c:pt>
              </c:numCache>
            </c:numRef>
          </c:val>
        </c:ser>
        <c:ser>
          <c:idx val="4"/>
          <c:order val="4"/>
          <c:tx>
            <c:strRef>
              <c:f>'Graf 11+12 '!$G$16</c:f>
              <c:strCache>
                <c:ptCount val="1"/>
                <c:pt idx="0">
                  <c:v>Zmena nepriamych daní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'Graf 11+12 '!$H$16:$AE$16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-0.32</c:v>
                </c:pt>
                <c:pt idx="13">
                  <c:v>-0.32</c:v>
                </c:pt>
                <c:pt idx="14">
                  <c:v>-0.32</c:v>
                </c:pt>
                <c:pt idx="15">
                  <c:v>-0.32</c:v>
                </c:pt>
                <c:pt idx="16">
                  <c:v>-0.32</c:v>
                </c:pt>
                <c:pt idx="17">
                  <c:v>-0.32</c:v>
                </c:pt>
                <c:pt idx="18">
                  <c:v>-0.32</c:v>
                </c:pt>
                <c:pt idx="19">
                  <c:v>-0.32</c:v>
                </c:pt>
                <c:pt idx="20">
                  <c:v>-0.32</c:v>
                </c:pt>
                <c:pt idx="21">
                  <c:v>-0.32</c:v>
                </c:pt>
                <c:pt idx="22">
                  <c:v>-0.32</c:v>
                </c:pt>
                <c:pt idx="23">
                  <c:v>-0.32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6326880"/>
        <c:axId val="656327360"/>
      </c:barChart>
      <c:lineChart>
        <c:grouping val="standard"/>
        <c:varyColors val="0"/>
        <c:ser>
          <c:idx val="0"/>
          <c:order val="0"/>
          <c:tx>
            <c:strRef>
              <c:f>'Graf 11+12 '!$G$12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11+12 '!$H$11:$AE$11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 11+12 '!$H$12:$AE$12</c:f>
              <c:numCache>
                <c:formatCode>0.0</c:formatCode>
                <c:ptCount val="24"/>
                <c:pt idx="0">
                  <c:v>-0.38095694494577947</c:v>
                </c:pt>
                <c:pt idx="1">
                  <c:v>-0.46300879044823973</c:v>
                </c:pt>
                <c:pt idx="2">
                  <c:v>-0.29951561746321803</c:v>
                </c:pt>
                <c:pt idx="3">
                  <c:v>-0.11610596989793656</c:v>
                </c:pt>
                <c:pt idx="4">
                  <c:v>-3.4367003187055045E-2</c:v>
                </c:pt>
                <c:pt idx="5">
                  <c:v>-5.9657811333625715E-2</c:v>
                </c:pt>
                <c:pt idx="6">
                  <c:v>-0.1760468939265995</c:v>
                </c:pt>
                <c:pt idx="7">
                  <c:v>-0.1723424911039638</c:v>
                </c:pt>
                <c:pt idx="8">
                  <c:v>-0.50586769179713331</c:v>
                </c:pt>
                <c:pt idx="9">
                  <c:v>-0.54799579561754608</c:v>
                </c:pt>
                <c:pt idx="10">
                  <c:v>-0.42473531130787451</c:v>
                </c:pt>
                <c:pt idx="11">
                  <c:v>-0.48585875301074044</c:v>
                </c:pt>
                <c:pt idx="12">
                  <c:v>-0.63151676867012996</c:v>
                </c:pt>
                <c:pt idx="13">
                  <c:v>-0.39929458008374152</c:v>
                </c:pt>
                <c:pt idx="14">
                  <c:v>-0.54199506889858862</c:v>
                </c:pt>
                <c:pt idx="15">
                  <c:v>-0.44339880102346768</c:v>
                </c:pt>
                <c:pt idx="16">
                  <c:v>-0.79903280831607804</c:v>
                </c:pt>
                <c:pt idx="17">
                  <c:v>-0.77678023711626198</c:v>
                </c:pt>
                <c:pt idx="18">
                  <c:v>-0.90112589161331846</c:v>
                </c:pt>
                <c:pt idx="19">
                  <c:v>-0.83304881127761399</c:v>
                </c:pt>
                <c:pt idx="20">
                  <c:v>-0.48198795698920666</c:v>
                </c:pt>
                <c:pt idx="21">
                  <c:v>-0.31113109518627635</c:v>
                </c:pt>
                <c:pt idx="22">
                  <c:v>-0.23000268203166879</c:v>
                </c:pt>
                <c:pt idx="23">
                  <c:v>0.17003660985193375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326880"/>
        <c:axId val="656327360"/>
      </c:lineChart>
      <c:dateAx>
        <c:axId val="656326880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6327360"/>
        <c:crosses val="autoZero"/>
        <c:auto val="1"/>
        <c:lblOffset val="100"/>
        <c:baseTimeUnit val="months"/>
      </c:dateAx>
      <c:valAx>
        <c:axId val="6563273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63268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31359923655656946"/>
          <c:y val="1.2728002584763432E-4"/>
          <c:w val="0.57280867338766328"/>
          <c:h val="0.3861920753497752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3712555631633003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'Graf 11+12 '!$G$44</c:f>
              <c:strCache>
                <c:ptCount val="1"/>
                <c:pt idx="0">
                  <c:v>Tovar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'!$H$44:$V$44</c:f>
              <c:numCache>
                <c:formatCode>0.00%</c:formatCode>
                <c:ptCount val="15"/>
                <c:pt idx="0">
                  <c:v>-6.0856892698324921E-2</c:v>
                </c:pt>
                <c:pt idx="1">
                  <c:v>-7.1463097645733137E-2</c:v>
                </c:pt>
                <c:pt idx="2">
                  <c:v>-6.2382607623707405E-2</c:v>
                </c:pt>
                <c:pt idx="3">
                  <c:v>-1.8318106444366704E-2</c:v>
                </c:pt>
                <c:pt idx="4">
                  <c:v>-1.8438084036521623E-2</c:v>
                </c:pt>
                <c:pt idx="5">
                  <c:v>3.6236949036323636E-3</c:v>
                </c:pt>
                <c:pt idx="6">
                  <c:v>-1.1838296563830835E-3</c:v>
                </c:pt>
                <c:pt idx="7">
                  <c:v>-5.0971856314301533E-4</c:v>
                </c:pt>
                <c:pt idx="8">
                  <c:v>3.4468757496198266E-2</c:v>
                </c:pt>
                <c:pt idx="9">
                  <c:v>4.0622959077188742E-2</c:v>
                </c:pt>
                <c:pt idx="10">
                  <c:v>3.7644990490656817E-2</c:v>
                </c:pt>
                <c:pt idx="11">
                  <c:v>2.6866411787364933E-2</c:v>
                </c:pt>
                <c:pt idx="12">
                  <c:v>0.03</c:v>
                </c:pt>
                <c:pt idx="13">
                  <c:v>4.5999999999999999E-2</c:v>
                </c:pt>
                <c:pt idx="14">
                  <c:v>5.7999999999999996E-2</c:v>
                </c:pt>
              </c:numCache>
            </c:numRef>
          </c:val>
        </c:ser>
        <c:ser>
          <c:idx val="8"/>
          <c:order val="2"/>
          <c:tx>
            <c:strRef>
              <c:f>'Graf 11+12 '!$G$45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'!$H$45:$V$45</c:f>
              <c:numCache>
                <c:formatCode>0.00%</c:formatCode>
                <c:ptCount val="15"/>
                <c:pt idx="0">
                  <c:v>2.0967258818921222E-2</c:v>
                </c:pt>
                <c:pt idx="1">
                  <c:v>1.6518852585251258E-2</c:v>
                </c:pt>
                <c:pt idx="2">
                  <c:v>2.164966024071702E-2</c:v>
                </c:pt>
                <c:pt idx="3">
                  <c:v>1.1140109350744833E-2</c:v>
                </c:pt>
                <c:pt idx="4">
                  <c:v>-5.1124465991339695E-3</c:v>
                </c:pt>
                <c:pt idx="5">
                  <c:v>-1.4104295249913898E-2</c:v>
                </c:pt>
                <c:pt idx="6">
                  <c:v>-9.6334138288173433E-3</c:v>
                </c:pt>
                <c:pt idx="7">
                  <c:v>-3.80873037459642E-3</c:v>
                </c:pt>
                <c:pt idx="8">
                  <c:v>5.8043957156407294E-3</c:v>
                </c:pt>
                <c:pt idx="9">
                  <c:v>4.8132746068889421E-3</c:v>
                </c:pt>
                <c:pt idx="10">
                  <c:v>1.4220563039492608E-3</c:v>
                </c:pt>
                <c:pt idx="11">
                  <c:v>1.2073363859033436E-3</c:v>
                </c:pt>
                <c:pt idx="12">
                  <c:v>4.0000000000000001E-3</c:v>
                </c:pt>
                <c:pt idx="13">
                  <c:v>5.0000000000000001E-3</c:v>
                </c:pt>
                <c:pt idx="14">
                  <c:v>5.0000000000000001E-3</c:v>
                </c:pt>
              </c:numCache>
            </c:numRef>
          </c:val>
        </c:ser>
        <c:ser>
          <c:idx val="0"/>
          <c:order val="3"/>
          <c:tx>
            <c:strRef>
              <c:f>'Graf 11+12 '!$G$46</c:f>
              <c:strCache>
                <c:ptCount val="1"/>
                <c:pt idx="0">
                  <c:v>Primárne výnosy</c:v>
                </c:pt>
              </c:strCache>
            </c:strRef>
          </c:tx>
          <c:invertIfNegative val="0"/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'!$H$46:$V$46</c:f>
              <c:numCache>
                <c:formatCode>0.00%</c:formatCode>
                <c:ptCount val="15"/>
                <c:pt idx="0">
                  <c:v>-5.8984816018064094E-2</c:v>
                </c:pt>
                <c:pt idx="1">
                  <c:v>-4.6049478283808121E-2</c:v>
                </c:pt>
                <c:pt idx="2">
                  <c:v>-4.6984369033045446E-2</c:v>
                </c:pt>
                <c:pt idx="3">
                  <c:v>-4.2659334212341853E-2</c:v>
                </c:pt>
                <c:pt idx="4">
                  <c:v>-2.9464633062464416E-2</c:v>
                </c:pt>
                <c:pt idx="5">
                  <c:v>-8.7624691419730862E-3</c:v>
                </c:pt>
                <c:pt idx="6">
                  <c:v>-2.7923582019935982E-2</c:v>
                </c:pt>
                <c:pt idx="7">
                  <c:v>-3.4066190636724857E-2</c:v>
                </c:pt>
                <c:pt idx="8">
                  <c:v>-1.6642935582761333E-2</c:v>
                </c:pt>
                <c:pt idx="9">
                  <c:v>-9.316450289524535E-3</c:v>
                </c:pt>
                <c:pt idx="10">
                  <c:v>-1.1455453559591267E-2</c:v>
                </c:pt>
                <c:pt idx="11">
                  <c:v>-1.1781061365604206E-2</c:v>
                </c:pt>
                <c:pt idx="12">
                  <c:v>-1.7000000000000001E-2</c:v>
                </c:pt>
                <c:pt idx="13">
                  <c:v>-0.02</c:v>
                </c:pt>
                <c:pt idx="14">
                  <c:v>-2.5000000000000001E-2</c:v>
                </c:pt>
              </c:numCache>
            </c:numRef>
          </c:val>
        </c:ser>
        <c:ser>
          <c:idx val="2"/>
          <c:order val="4"/>
          <c:tx>
            <c:strRef>
              <c:f>'Graf 11+12 '!$G$47</c:f>
              <c:strCache>
                <c:ptCount val="1"/>
                <c:pt idx="0">
                  <c:v>Sekundárne výnosy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9050">
              <a:noFill/>
            </a:ln>
          </c:spPr>
          <c:invertIfNegative val="0"/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'!$H$47:$V$47</c:f>
              <c:numCache>
                <c:formatCode>0.00%</c:formatCode>
                <c:ptCount val="15"/>
                <c:pt idx="0">
                  <c:v>-2.4192990944909101E-3</c:v>
                </c:pt>
                <c:pt idx="1">
                  <c:v>-5.1589647304707779E-3</c:v>
                </c:pt>
                <c:pt idx="2">
                  <c:v>-6.8875312214641791E-3</c:v>
                </c:pt>
                <c:pt idx="3">
                  <c:v>-8.8303578107179932E-3</c:v>
                </c:pt>
                <c:pt idx="4">
                  <c:v>-1.143493973060734E-2</c:v>
                </c:pt>
                <c:pt idx="5">
                  <c:v>-1.52288902200067E-2</c:v>
                </c:pt>
                <c:pt idx="6">
                  <c:v>-8.3755948189103164E-3</c:v>
                </c:pt>
                <c:pt idx="7">
                  <c:v>-1.1114696446312973E-2</c:v>
                </c:pt>
                <c:pt idx="8">
                  <c:v>-1.4222144952541501E-2</c:v>
                </c:pt>
                <c:pt idx="9">
                  <c:v>-1.781046430168149E-2</c:v>
                </c:pt>
                <c:pt idx="10">
                  <c:v>-1.5708455283439518E-2</c:v>
                </c:pt>
                <c:pt idx="11">
                  <c:v>-1.4183025333348753E-2</c:v>
                </c:pt>
                <c:pt idx="12">
                  <c:v>-1.4E-2</c:v>
                </c:pt>
                <c:pt idx="13">
                  <c:v>-1.3999999999999999E-2</c:v>
                </c:pt>
                <c:pt idx="14">
                  <c:v>-1.4999999999999999E-2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6325704"/>
        <c:axId val="656325312"/>
      </c:barChart>
      <c:lineChart>
        <c:grouping val="standard"/>
        <c:varyColors val="0"/>
        <c:ser>
          <c:idx val="1"/>
          <c:order val="0"/>
          <c:tx>
            <c:strRef>
              <c:f>'Graf 11+12 '!$G$43</c:f>
              <c:strCache>
                <c:ptCount val="1"/>
                <c:pt idx="0">
                  <c:v>Bežný účet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'!$H$43:$V$43</c:f>
              <c:numCache>
                <c:formatCode>0.00%</c:formatCode>
                <c:ptCount val="15"/>
                <c:pt idx="0">
                  <c:v>-0.10132255017165502</c:v>
                </c:pt>
                <c:pt idx="1">
                  <c:v>-0.10620351531348463</c:v>
                </c:pt>
                <c:pt idx="2">
                  <c:v>-9.4582912824692805E-2</c:v>
                </c:pt>
                <c:pt idx="3">
                  <c:v>-5.8667689116681715E-2</c:v>
                </c:pt>
                <c:pt idx="4">
                  <c:v>-6.4465229010381597E-2</c:v>
                </c:pt>
                <c:pt idx="5">
                  <c:v>-3.4471959708261321E-2</c:v>
                </c:pt>
                <c:pt idx="6">
                  <c:v>-4.7116420324046726E-2</c:v>
                </c:pt>
                <c:pt idx="7">
                  <c:v>-4.9513494869753462E-2</c:v>
                </c:pt>
                <c:pt idx="8">
                  <c:v>9.3943181843189998E-3</c:v>
                </c:pt>
                <c:pt idx="9">
                  <c:v>1.8295836530947601E-2</c:v>
                </c:pt>
                <c:pt idx="10">
                  <c:v>1.1903137951575294E-2</c:v>
                </c:pt>
                <c:pt idx="11">
                  <c:v>2.135079082439597E-3</c:v>
                </c:pt>
                <c:pt idx="12">
                  <c:v>2E-3</c:v>
                </c:pt>
                <c:pt idx="13">
                  <c:v>1.7000000000000001E-2</c:v>
                </c:pt>
                <c:pt idx="14">
                  <c:v>2.4E-2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325704"/>
        <c:axId val="656325312"/>
      </c:lineChart>
      <c:catAx>
        <c:axId val="656325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56325312"/>
        <c:crosses val="autoZero"/>
        <c:auto val="1"/>
        <c:lblAlgn val="ctr"/>
        <c:lblOffset val="100"/>
        <c:noMultiLvlLbl val="1"/>
      </c:catAx>
      <c:valAx>
        <c:axId val="656325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656325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9799062686012367E-2"/>
          <c:y val="1.5117940756884709E-2"/>
          <c:w val="0.88121588563565478"/>
          <c:h val="0.1592549591591426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'Graf 11+12 '!$G$28</c:f>
              <c:strCache>
                <c:ptCount val="1"/>
                <c:pt idx="0">
                  <c:v>Net inflation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numRef>
              <c:f>'Graf 11+12 '!$H$11:$AE$11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 11+12 '!$H$28:$AE$28</c:f>
              <c:numCache>
                <c:formatCode>0.0</c:formatCode>
                <c:ptCount val="24"/>
                <c:pt idx="0">
                  <c:v>0.21444124806373835</c:v>
                </c:pt>
                <c:pt idx="1">
                  <c:v>9.5356457564574351E-2</c:v>
                </c:pt>
                <c:pt idx="2">
                  <c:v>0.18587650313536475</c:v>
                </c:pt>
                <c:pt idx="3">
                  <c:v>0.17122461900905012</c:v>
                </c:pt>
                <c:pt idx="4">
                  <c:v>0.22801411764705226</c:v>
                </c:pt>
                <c:pt idx="5">
                  <c:v>0.15647207339449698</c:v>
                </c:pt>
                <c:pt idx="6">
                  <c:v>0.14706447349096191</c:v>
                </c:pt>
                <c:pt idx="7">
                  <c:v>0.11392329169728375</c:v>
                </c:pt>
                <c:pt idx="8">
                  <c:v>-5.6957460877232635E-2</c:v>
                </c:pt>
                <c:pt idx="9">
                  <c:v>-0.17515556532571375</c:v>
                </c:pt>
                <c:pt idx="10">
                  <c:v>-7.5770708107310722E-2</c:v>
                </c:pt>
                <c:pt idx="11">
                  <c:v>-3.8013533392180887E-2</c:v>
                </c:pt>
                <c:pt idx="12">
                  <c:v>-1.8921923246588479E-2</c:v>
                </c:pt>
                <c:pt idx="13">
                  <c:v>0.13276580692705217</c:v>
                </c:pt>
                <c:pt idx="14">
                  <c:v>2.3666323377969669E-2</c:v>
                </c:pt>
                <c:pt idx="15">
                  <c:v>0.18898303840223252</c:v>
                </c:pt>
                <c:pt idx="16">
                  <c:v>5.6574443141852893E-2</c:v>
                </c:pt>
                <c:pt idx="17">
                  <c:v>6.5955191096779692E-2</c:v>
                </c:pt>
                <c:pt idx="18">
                  <c:v>-1.4142574547588434E-2</c:v>
                </c:pt>
                <c:pt idx="19">
                  <c:v>4.247440222972327E-2</c:v>
                </c:pt>
                <c:pt idx="20">
                  <c:v>0.28862298698433481</c:v>
                </c:pt>
                <c:pt idx="21">
                  <c:v>0.41130991917707349</c:v>
                </c:pt>
                <c:pt idx="22">
                  <c:v>0.34471686481726405</c:v>
                </c:pt>
                <c:pt idx="23">
                  <c:v>0.55877185752134739</c:v>
                </c:pt>
              </c:numCache>
            </c:numRef>
          </c:val>
        </c:ser>
        <c:ser>
          <c:idx val="2"/>
          <c:order val="2"/>
          <c:tx>
            <c:strRef>
              <c:f>'Graf 11+12 '!$G$29</c:f>
              <c:strCache>
                <c:ptCount val="1"/>
                <c:pt idx="0">
                  <c:v>Food prices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numRef>
              <c:f>'Graf 11+12 '!$H$11:$AE$11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 11+12 '!$H$29:$AE$29</c:f>
              <c:numCache>
                <c:formatCode>0.0</c:formatCode>
                <c:ptCount val="24"/>
                <c:pt idx="0">
                  <c:v>-0.32305545203845737</c:v>
                </c:pt>
                <c:pt idx="1">
                  <c:v>-0.28689107503553368</c:v>
                </c:pt>
                <c:pt idx="2">
                  <c:v>-0.21067209668943776</c:v>
                </c:pt>
                <c:pt idx="3">
                  <c:v>-1.6659989417190244E-2</c:v>
                </c:pt>
                <c:pt idx="4">
                  <c:v>9.8964975303098991E-3</c:v>
                </c:pt>
                <c:pt idx="5">
                  <c:v>5.2836679652383561E-2</c:v>
                </c:pt>
                <c:pt idx="6">
                  <c:v>-4.7654171066527022E-2</c:v>
                </c:pt>
                <c:pt idx="7">
                  <c:v>-1.0082882195959838E-2</c:v>
                </c:pt>
                <c:pt idx="8">
                  <c:v>4.8335934511512385E-2</c:v>
                </c:pt>
                <c:pt idx="9">
                  <c:v>0.11856478635105851</c:v>
                </c:pt>
                <c:pt idx="10">
                  <c:v>5.8785565899823387E-2</c:v>
                </c:pt>
                <c:pt idx="11">
                  <c:v>-8.1376615384614701E-2</c:v>
                </c:pt>
                <c:pt idx="12">
                  <c:v>-5.8764985995524585E-2</c:v>
                </c:pt>
                <c:pt idx="13">
                  <c:v>1.8370532580499935E-2</c:v>
                </c:pt>
                <c:pt idx="14">
                  <c:v>-2.026715917745495E-2</c:v>
                </c:pt>
                <c:pt idx="15">
                  <c:v>-9.7024973512938609E-2</c:v>
                </c:pt>
                <c:pt idx="16">
                  <c:v>-0.32110567646398863</c:v>
                </c:pt>
                <c:pt idx="17">
                  <c:v>-0.30492624664078866</c:v>
                </c:pt>
                <c:pt idx="18">
                  <c:v>-0.18501036700718967</c:v>
                </c:pt>
                <c:pt idx="19">
                  <c:v>-0.1694866473370982</c:v>
                </c:pt>
                <c:pt idx="20">
                  <c:v>-0.20121366478572283</c:v>
                </c:pt>
                <c:pt idx="21">
                  <c:v>-0.20116764504078435</c:v>
                </c:pt>
                <c:pt idx="22">
                  <c:v>-5.5980688175340756E-2</c:v>
                </c:pt>
                <c:pt idx="23">
                  <c:v>0.12915346534653641</c:v>
                </c:pt>
              </c:numCache>
            </c:numRef>
          </c:val>
        </c:ser>
        <c:ser>
          <c:idx val="3"/>
          <c:order val="3"/>
          <c:tx>
            <c:strRef>
              <c:f>'Graf 11+12 '!$G$30</c:f>
              <c:strCache>
                <c:ptCount val="1"/>
                <c:pt idx="0">
                  <c:v>Regulated prices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cat>
            <c:numRef>
              <c:f>'Graf 11+12 '!$H$11:$AE$11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 11+12 '!$H$30:$AE$30</c:f>
              <c:numCache>
                <c:formatCode>0.0</c:formatCode>
                <c:ptCount val="24"/>
                <c:pt idx="0">
                  <c:v>-0.27234274097106048</c:v>
                </c:pt>
                <c:pt idx="1">
                  <c:v>-0.27147417297728038</c:v>
                </c:pt>
                <c:pt idx="2">
                  <c:v>-0.27472002390914502</c:v>
                </c:pt>
                <c:pt idx="3">
                  <c:v>-0.27067059948979644</c:v>
                </c:pt>
                <c:pt idx="4">
                  <c:v>-0.27227761836441722</c:v>
                </c:pt>
                <c:pt idx="5">
                  <c:v>-0.26896656438050626</c:v>
                </c:pt>
                <c:pt idx="6">
                  <c:v>-0.27545719635103438</c:v>
                </c:pt>
                <c:pt idx="7">
                  <c:v>-0.27618290060528772</c:v>
                </c:pt>
                <c:pt idx="8">
                  <c:v>-0.49724616543141303</c:v>
                </c:pt>
                <c:pt idx="9">
                  <c:v>-0.49140501664289082</c:v>
                </c:pt>
                <c:pt idx="10">
                  <c:v>-0.40775016910038719</c:v>
                </c:pt>
                <c:pt idx="11">
                  <c:v>-0.36646860423394484</c:v>
                </c:pt>
                <c:pt idx="12">
                  <c:v>-0.23382985942801682</c:v>
                </c:pt>
                <c:pt idx="13">
                  <c:v>-0.23043091959129361</c:v>
                </c:pt>
                <c:pt idx="14">
                  <c:v>-0.22539423309910328</c:v>
                </c:pt>
                <c:pt idx="15">
                  <c:v>-0.2153568659127616</c:v>
                </c:pt>
                <c:pt idx="16">
                  <c:v>-0.21450157499394235</c:v>
                </c:pt>
                <c:pt idx="17">
                  <c:v>-0.21780918157225304</c:v>
                </c:pt>
                <c:pt idx="18">
                  <c:v>-0.38197295005854043</c:v>
                </c:pt>
                <c:pt idx="19">
                  <c:v>-0.38603656617023901</c:v>
                </c:pt>
                <c:pt idx="20">
                  <c:v>-0.24939727918781862</c:v>
                </c:pt>
                <c:pt idx="21">
                  <c:v>-0.20127336932256551</c:v>
                </c:pt>
                <c:pt idx="22">
                  <c:v>-0.19873885867359209</c:v>
                </c:pt>
                <c:pt idx="23">
                  <c:v>-0.19788871301594999</c:v>
                </c:pt>
              </c:numCache>
            </c:numRef>
          </c:val>
        </c:ser>
        <c:ser>
          <c:idx val="4"/>
          <c:order val="4"/>
          <c:tx>
            <c:strRef>
              <c:f>'Graf 11+12 '!$G$31</c:f>
              <c:strCache>
                <c:ptCount val="1"/>
                <c:pt idx="0">
                  <c:v>Change in indirect taxes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11+12 '!$H$11:$AE$11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 11+12 '!$H$31:$AE$31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-0.32</c:v>
                </c:pt>
                <c:pt idx="13">
                  <c:v>-0.32</c:v>
                </c:pt>
                <c:pt idx="14">
                  <c:v>-0.32</c:v>
                </c:pt>
                <c:pt idx="15">
                  <c:v>-0.32</c:v>
                </c:pt>
                <c:pt idx="16">
                  <c:v>-0.32</c:v>
                </c:pt>
                <c:pt idx="17">
                  <c:v>-0.32</c:v>
                </c:pt>
                <c:pt idx="18">
                  <c:v>-0.32</c:v>
                </c:pt>
                <c:pt idx="19">
                  <c:v>-0.32</c:v>
                </c:pt>
                <c:pt idx="20">
                  <c:v>-0.32</c:v>
                </c:pt>
                <c:pt idx="21">
                  <c:v>-0.32</c:v>
                </c:pt>
                <c:pt idx="22">
                  <c:v>-0.32</c:v>
                </c:pt>
                <c:pt idx="23">
                  <c:v>-0.32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6330192"/>
        <c:axId val="656330584"/>
      </c:barChart>
      <c:lineChart>
        <c:grouping val="standard"/>
        <c:varyColors val="0"/>
        <c:ser>
          <c:idx val="0"/>
          <c:order val="0"/>
          <c:tx>
            <c:strRef>
              <c:f>'Graf 11+12 '!$G$27</c:f>
              <c:strCache>
                <c:ptCount val="1"/>
                <c:pt idx="0">
                  <c:v>Total inflation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11+12 '!$H$11:$AE$11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 11+12 '!$H$27:$AE$27</c:f>
              <c:numCache>
                <c:formatCode>0.0</c:formatCode>
                <c:ptCount val="24"/>
                <c:pt idx="0">
                  <c:v>-0.38095694494577947</c:v>
                </c:pt>
                <c:pt idx="1">
                  <c:v>-0.46300879044823973</c:v>
                </c:pt>
                <c:pt idx="2">
                  <c:v>-0.29951561746321803</c:v>
                </c:pt>
                <c:pt idx="3">
                  <c:v>-0.11610596989793656</c:v>
                </c:pt>
                <c:pt idx="4">
                  <c:v>-3.4367003187055045E-2</c:v>
                </c:pt>
                <c:pt idx="5">
                  <c:v>-5.9657811333625715E-2</c:v>
                </c:pt>
                <c:pt idx="6">
                  <c:v>-0.1760468939265995</c:v>
                </c:pt>
                <c:pt idx="7">
                  <c:v>-0.1723424911039638</c:v>
                </c:pt>
                <c:pt idx="8">
                  <c:v>-0.50586769179713331</c:v>
                </c:pt>
                <c:pt idx="9">
                  <c:v>-0.54799579561754608</c:v>
                </c:pt>
                <c:pt idx="10">
                  <c:v>-0.42473531130787451</c:v>
                </c:pt>
                <c:pt idx="11">
                  <c:v>-0.48585875301074044</c:v>
                </c:pt>
                <c:pt idx="12">
                  <c:v>-0.63151676867012996</c:v>
                </c:pt>
                <c:pt idx="13">
                  <c:v>-0.39929458008374152</c:v>
                </c:pt>
                <c:pt idx="14">
                  <c:v>-0.54199506889858862</c:v>
                </c:pt>
                <c:pt idx="15">
                  <c:v>-0.44339880102346768</c:v>
                </c:pt>
                <c:pt idx="16">
                  <c:v>-0.79903280831607804</c:v>
                </c:pt>
                <c:pt idx="17">
                  <c:v>-0.77678023711626198</c:v>
                </c:pt>
                <c:pt idx="18">
                  <c:v>-0.90112589161331846</c:v>
                </c:pt>
                <c:pt idx="19">
                  <c:v>-0.83304881127761399</c:v>
                </c:pt>
                <c:pt idx="20">
                  <c:v>-0.48198795698920666</c:v>
                </c:pt>
                <c:pt idx="21">
                  <c:v>-0.31113109518627635</c:v>
                </c:pt>
                <c:pt idx="22">
                  <c:v>-0.23000268203166879</c:v>
                </c:pt>
                <c:pt idx="23">
                  <c:v>0.17003660985193375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330192"/>
        <c:axId val="656330584"/>
      </c:lineChart>
      <c:dateAx>
        <c:axId val="6563301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6330584"/>
        <c:crosses val="autoZero"/>
        <c:auto val="1"/>
        <c:lblOffset val="100"/>
        <c:baseTimeUnit val="months"/>
      </c:dateAx>
      <c:valAx>
        <c:axId val="656330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633019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31359923655656946"/>
          <c:y val="1.2728002584763432E-4"/>
          <c:w val="0.57280867338766328"/>
          <c:h val="0.3861920753497752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sk-SK">
                <a:solidFill>
                  <a:schemeClr val="tx1"/>
                </a:solidFill>
                <a:latin typeface="Arial Narrow" panose="020B0606020202030204" pitchFamily="34" charset="0"/>
              </a:rPr>
              <a:t>Saldo na bežnom účte </a:t>
            </a:r>
            <a:r>
              <a:rPr lang="en-US" baseline="0">
                <a:solidFill>
                  <a:schemeClr val="tx1"/>
                </a:solidFill>
                <a:latin typeface="Arial Narrow" panose="020B0606020202030204" pitchFamily="34" charset="0"/>
              </a:rPr>
              <a:t>(% GDP)</a:t>
            </a:r>
            <a:endParaRPr lang="sk-SK">
              <a:solidFill>
                <a:schemeClr val="tx1"/>
              </a:solidFill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6855309933219035E-2"/>
          <c:y val="0.16694444444444445"/>
          <c:w val="0.88289600124026124"/>
          <c:h val="0.4202752260134149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11+12 '!$H$52</c:f>
              <c:strCache>
                <c:ptCount val="1"/>
                <c:pt idx="0">
                  <c:v>Tovar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'Graf 11+12 '!$H$54:$H$66</c:f>
              <c:numCache>
                <c:formatCode>0.00%</c:formatCode>
                <c:ptCount val="13"/>
                <c:pt idx="0">
                  <c:v>-6.0873430770419359E-2</c:v>
                </c:pt>
                <c:pt idx="1">
                  <c:v>-7.1484024082827516E-2</c:v>
                </c:pt>
                <c:pt idx="2">
                  <c:v>-6.2379113119699708E-2</c:v>
                </c:pt>
                <c:pt idx="3">
                  <c:v>-1.8324590227722842E-2</c:v>
                </c:pt>
                <c:pt idx="4">
                  <c:v>-1.8421682930434734E-2</c:v>
                </c:pt>
                <c:pt idx="5">
                  <c:v>3.6219355355178772E-3</c:v>
                </c:pt>
                <c:pt idx="6">
                  <c:v>-1.1822474702912749E-3</c:v>
                </c:pt>
                <c:pt idx="7">
                  <c:v>-5.0875063805645661E-4</c:v>
                </c:pt>
                <c:pt idx="8">
                  <c:v>3.4465751185170521E-2</c:v>
                </c:pt>
                <c:pt idx="9">
                  <c:v>4.0607497404084619E-2</c:v>
                </c:pt>
                <c:pt idx="10">
                  <c:v>3.7639859620143386E-2</c:v>
                </c:pt>
                <c:pt idx="11">
                  <c:v>2.6879710019648121E-2</c:v>
                </c:pt>
                <c:pt idx="12">
                  <c:v>3.0053213890917137E-2</c:v>
                </c:pt>
              </c:numCache>
            </c:numRef>
          </c:val>
        </c:ser>
        <c:ser>
          <c:idx val="4"/>
          <c:order val="2"/>
          <c:tx>
            <c:strRef>
              <c:f>'Graf 11+12 '!$I$52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'Graf 11+12 '!$I$54:$I$66</c:f>
              <c:numCache>
                <c:formatCode>0.00%</c:formatCode>
                <c:ptCount val="13"/>
                <c:pt idx="0">
                  <c:v>2.0954560538831574E-2</c:v>
                </c:pt>
                <c:pt idx="1">
                  <c:v>1.6493865064537056E-2</c:v>
                </c:pt>
                <c:pt idx="2">
                  <c:v>2.1656511390117917E-2</c:v>
                </c:pt>
                <c:pt idx="3">
                  <c:v>1.1144104125411159E-2</c:v>
                </c:pt>
                <c:pt idx="4">
                  <c:v>-5.1277071989401513E-3</c:v>
                </c:pt>
                <c:pt idx="5">
                  <c:v>-1.4104157451871725E-2</c:v>
                </c:pt>
                <c:pt idx="6">
                  <c:v>-9.6383353809020144E-3</c:v>
                </c:pt>
                <c:pt idx="7">
                  <c:v>-3.8170241746350625E-3</c:v>
                </c:pt>
                <c:pt idx="8">
                  <c:v>5.7961021975686117E-3</c:v>
                </c:pt>
                <c:pt idx="9">
                  <c:v>4.819451238157595E-3</c:v>
                </c:pt>
                <c:pt idx="10">
                  <c:v>1.4282448823090552E-3</c:v>
                </c:pt>
                <c:pt idx="11">
                  <c:v>1.2061347340407873E-3</c:v>
                </c:pt>
                <c:pt idx="12">
                  <c:v>4.11694952938561E-3</c:v>
                </c:pt>
              </c:numCache>
            </c:numRef>
          </c:val>
        </c:ser>
        <c:ser>
          <c:idx val="2"/>
          <c:order val="3"/>
          <c:tx>
            <c:strRef>
              <c:f>'Graf 11+12 '!$J$52</c:f>
              <c:strCache>
                <c:ptCount val="1"/>
                <c:pt idx="0">
                  <c:v>Primárne výnosy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val>
            <c:numRef>
              <c:f>'Graf 11+12 '!$J$54:$J$66</c:f>
              <c:numCache>
                <c:formatCode>0.00%</c:formatCode>
                <c:ptCount val="13"/>
                <c:pt idx="0">
                  <c:v>-5.9000808082590513E-2</c:v>
                </c:pt>
                <c:pt idx="1">
                  <c:v>-4.6052924941857649E-2</c:v>
                </c:pt>
                <c:pt idx="2">
                  <c:v>-4.6977717602834396E-2</c:v>
                </c:pt>
                <c:pt idx="3">
                  <c:v>-4.2660831060569546E-2</c:v>
                </c:pt>
                <c:pt idx="4">
                  <c:v>-2.946896199803397E-2</c:v>
                </c:pt>
                <c:pt idx="5">
                  <c:v>-8.7642723753404463E-3</c:v>
                </c:pt>
                <c:pt idx="6">
                  <c:v>-2.7911181710716819E-2</c:v>
                </c:pt>
                <c:pt idx="7">
                  <c:v>-3.4059275992745636E-2</c:v>
                </c:pt>
                <c:pt idx="8">
                  <c:v>-1.6640231845630495E-2</c:v>
                </c:pt>
                <c:pt idx="9">
                  <c:v>-9.3174793605157805E-3</c:v>
                </c:pt>
                <c:pt idx="10">
                  <c:v>-1.1447575130658007E-2</c:v>
                </c:pt>
                <c:pt idx="11">
                  <c:v>-1.1782183819887769E-2</c:v>
                </c:pt>
                <c:pt idx="12">
                  <c:v>-2.550555843770845E-2</c:v>
                </c:pt>
              </c:numCache>
            </c:numRef>
          </c:val>
        </c:ser>
        <c:ser>
          <c:idx val="3"/>
          <c:order val="4"/>
          <c:tx>
            <c:strRef>
              <c:f>'Graf 11+12 '!$K$52</c:f>
              <c:strCache>
                <c:ptCount val="1"/>
                <c:pt idx="0">
                  <c:v>Sekundárne výnosy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'Graf 11+12 '!$K$54:$K$66</c:f>
              <c:numCache>
                <c:formatCode>0.00%</c:formatCode>
                <c:ptCount val="13"/>
                <c:pt idx="0">
                  <c:v>-2.4204306515631245E-3</c:v>
                </c:pt>
                <c:pt idx="1">
                  <c:v>-5.152265169634661E-3</c:v>
                </c:pt>
                <c:pt idx="2">
                  <c:v>-6.8853947861957096E-3</c:v>
                </c:pt>
                <c:pt idx="3">
                  <c:v>-8.8353772115626478E-3</c:v>
                </c:pt>
                <c:pt idx="4">
                  <c:v>-1.1448564107878572E-2</c:v>
                </c:pt>
                <c:pt idx="5">
                  <c:v>-1.5227580668766248E-2</c:v>
                </c:pt>
                <c:pt idx="6">
                  <c:v>-8.3770746059807968E-3</c:v>
                </c:pt>
                <c:pt idx="7">
                  <c:v>-1.1128312228899208E-2</c:v>
                </c:pt>
                <c:pt idx="8">
                  <c:v>-1.4217820144149363E-2</c:v>
                </c:pt>
                <c:pt idx="9">
                  <c:v>-1.7814963081079094E-2</c:v>
                </c:pt>
                <c:pt idx="10">
                  <c:v>-1.5716355596239236E-2</c:v>
                </c:pt>
                <c:pt idx="11">
                  <c:v>-1.4174421472998685E-2</c:v>
                </c:pt>
                <c:pt idx="12">
                  <c:v>-1.4710714197485118E-2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6329408"/>
        <c:axId val="656330976"/>
      </c:barChart>
      <c:lineChart>
        <c:grouping val="standard"/>
        <c:varyColors val="0"/>
        <c:ser>
          <c:idx val="0"/>
          <c:order val="0"/>
          <c:tx>
            <c:strRef>
              <c:f>'Graf 11+12 '!$G$52</c:f>
              <c:strCache>
                <c:ptCount val="1"/>
                <c:pt idx="0">
                  <c:v>Bežný účet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11+12 '!$F$54:$F$66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'Graf 11+12 '!$G$54:$G$66</c:f>
              <c:numCache>
                <c:formatCode>0.00%</c:formatCode>
                <c:ptCount val="13"/>
                <c:pt idx="0">
                  <c:v>-0.10134010896574169</c:v>
                </c:pt>
                <c:pt idx="1">
                  <c:v>-0.10619534912978273</c:v>
                </c:pt>
                <c:pt idx="2">
                  <c:v>-9.4585714118611816E-2</c:v>
                </c:pt>
                <c:pt idx="3">
                  <c:v>-5.867669437444379E-2</c:v>
                </c:pt>
                <c:pt idx="4">
                  <c:v>-6.4466916235287289E-2</c:v>
                </c:pt>
                <c:pt idx="5">
                  <c:v>-3.4474074960460566E-2</c:v>
                </c:pt>
                <c:pt idx="6">
                  <c:v>-4.7108839167890951E-2</c:v>
                </c:pt>
                <c:pt idx="7">
                  <c:v>-4.9513363034336233E-2</c:v>
                </c:pt>
                <c:pt idx="8">
                  <c:v>9.4038013929594322E-3</c:v>
                </c:pt>
                <c:pt idx="9">
                  <c:v>1.829450620064732E-2</c:v>
                </c:pt>
                <c:pt idx="10">
                  <c:v>1.1904173775555265E-2</c:v>
                </c:pt>
                <c:pt idx="11">
                  <c:v>2.1292394608023245E-3</c:v>
                </c:pt>
                <c:pt idx="12">
                  <c:v>-6.0461092148909297E-3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329408"/>
        <c:axId val="656330976"/>
      </c:lineChart>
      <c:catAx>
        <c:axId val="65632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6330976"/>
        <c:crosses val="autoZero"/>
        <c:auto val="1"/>
        <c:lblAlgn val="ctr"/>
        <c:lblOffset val="100"/>
        <c:noMultiLvlLbl val="0"/>
      </c:catAx>
      <c:valAx>
        <c:axId val="65633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632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085710536720438E-2"/>
          <c:y val="0.73175670749489652"/>
          <c:w val="0.75458418121324744"/>
          <c:h val="0.24046551472732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3712555631633003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'Graf 11+12 '!$G$20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'!$H$44:$V$44</c:f>
              <c:numCache>
                <c:formatCode>0.00%</c:formatCode>
                <c:ptCount val="15"/>
                <c:pt idx="0">
                  <c:v>-6.0856892698324921E-2</c:v>
                </c:pt>
                <c:pt idx="1">
                  <c:v>-7.1463097645733137E-2</c:v>
                </c:pt>
                <c:pt idx="2">
                  <c:v>-6.2382607623707405E-2</c:v>
                </c:pt>
                <c:pt idx="3">
                  <c:v>-1.8318106444366704E-2</c:v>
                </c:pt>
                <c:pt idx="4">
                  <c:v>-1.8438084036521623E-2</c:v>
                </c:pt>
                <c:pt idx="5">
                  <c:v>3.6236949036323636E-3</c:v>
                </c:pt>
                <c:pt idx="6">
                  <c:v>-1.1838296563830835E-3</c:v>
                </c:pt>
                <c:pt idx="7">
                  <c:v>-5.0971856314301533E-4</c:v>
                </c:pt>
                <c:pt idx="8">
                  <c:v>3.4468757496198266E-2</c:v>
                </c:pt>
                <c:pt idx="9">
                  <c:v>4.0622959077188742E-2</c:v>
                </c:pt>
                <c:pt idx="10">
                  <c:v>3.7644990490656817E-2</c:v>
                </c:pt>
                <c:pt idx="11">
                  <c:v>2.6866411787364933E-2</c:v>
                </c:pt>
                <c:pt idx="12">
                  <c:v>0.03</c:v>
                </c:pt>
                <c:pt idx="13">
                  <c:v>4.5999999999999999E-2</c:v>
                </c:pt>
                <c:pt idx="14">
                  <c:v>5.7999999999999996E-2</c:v>
                </c:pt>
              </c:numCache>
            </c:numRef>
          </c:val>
        </c:ser>
        <c:ser>
          <c:idx val="8"/>
          <c:order val="2"/>
          <c:tx>
            <c:strRef>
              <c:f>'Graf 11+12 '!$G$20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'!$H$45:$V$45</c:f>
              <c:numCache>
                <c:formatCode>0.00%</c:formatCode>
                <c:ptCount val="15"/>
                <c:pt idx="0">
                  <c:v>2.0967258818921222E-2</c:v>
                </c:pt>
                <c:pt idx="1">
                  <c:v>1.6518852585251258E-2</c:v>
                </c:pt>
                <c:pt idx="2">
                  <c:v>2.164966024071702E-2</c:v>
                </c:pt>
                <c:pt idx="3">
                  <c:v>1.1140109350744833E-2</c:v>
                </c:pt>
                <c:pt idx="4">
                  <c:v>-5.1124465991339695E-3</c:v>
                </c:pt>
                <c:pt idx="5">
                  <c:v>-1.4104295249913898E-2</c:v>
                </c:pt>
                <c:pt idx="6">
                  <c:v>-9.6334138288173433E-3</c:v>
                </c:pt>
                <c:pt idx="7">
                  <c:v>-3.80873037459642E-3</c:v>
                </c:pt>
                <c:pt idx="8">
                  <c:v>5.8043957156407294E-3</c:v>
                </c:pt>
                <c:pt idx="9">
                  <c:v>4.8132746068889421E-3</c:v>
                </c:pt>
                <c:pt idx="10">
                  <c:v>1.4220563039492608E-3</c:v>
                </c:pt>
                <c:pt idx="11">
                  <c:v>1.2073363859033436E-3</c:v>
                </c:pt>
                <c:pt idx="12">
                  <c:v>4.0000000000000001E-3</c:v>
                </c:pt>
                <c:pt idx="13">
                  <c:v>5.0000000000000001E-3</c:v>
                </c:pt>
                <c:pt idx="14">
                  <c:v>5.0000000000000001E-3</c:v>
                </c:pt>
              </c:numCache>
            </c:numRef>
          </c:val>
        </c:ser>
        <c:ser>
          <c:idx val="0"/>
          <c:order val="3"/>
          <c:tx>
            <c:strRef>
              <c:f>'Graf 11+12 '!$G$21</c:f>
              <c:strCache>
                <c:ptCount val="1"/>
                <c:pt idx="0">
                  <c:v>Primary income</c:v>
                </c:pt>
              </c:strCache>
            </c:strRef>
          </c:tx>
          <c:invertIfNegative val="0"/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'!$H$46:$V$46</c:f>
              <c:numCache>
                <c:formatCode>0.00%</c:formatCode>
                <c:ptCount val="15"/>
                <c:pt idx="0">
                  <c:v>-5.8984816018064094E-2</c:v>
                </c:pt>
                <c:pt idx="1">
                  <c:v>-4.6049478283808121E-2</c:v>
                </c:pt>
                <c:pt idx="2">
                  <c:v>-4.6984369033045446E-2</c:v>
                </c:pt>
                <c:pt idx="3">
                  <c:v>-4.2659334212341853E-2</c:v>
                </c:pt>
                <c:pt idx="4">
                  <c:v>-2.9464633062464416E-2</c:v>
                </c:pt>
                <c:pt idx="5">
                  <c:v>-8.7624691419730862E-3</c:v>
                </c:pt>
                <c:pt idx="6">
                  <c:v>-2.7923582019935982E-2</c:v>
                </c:pt>
                <c:pt idx="7">
                  <c:v>-3.4066190636724857E-2</c:v>
                </c:pt>
                <c:pt idx="8">
                  <c:v>-1.6642935582761333E-2</c:v>
                </c:pt>
                <c:pt idx="9">
                  <c:v>-9.316450289524535E-3</c:v>
                </c:pt>
                <c:pt idx="10">
                  <c:v>-1.1455453559591267E-2</c:v>
                </c:pt>
                <c:pt idx="11">
                  <c:v>-1.1781061365604206E-2</c:v>
                </c:pt>
                <c:pt idx="12">
                  <c:v>-1.7000000000000001E-2</c:v>
                </c:pt>
                <c:pt idx="13">
                  <c:v>-0.02</c:v>
                </c:pt>
                <c:pt idx="14">
                  <c:v>-2.5000000000000001E-2</c:v>
                </c:pt>
              </c:numCache>
            </c:numRef>
          </c:val>
        </c:ser>
        <c:ser>
          <c:idx val="2"/>
          <c:order val="4"/>
          <c:tx>
            <c:strRef>
              <c:f>'Graf 11+12 '!$G$22</c:f>
              <c:strCache>
                <c:ptCount val="1"/>
                <c:pt idx="0">
                  <c:v>Secondary income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9050">
              <a:noFill/>
            </a:ln>
          </c:spPr>
          <c:invertIfNegative val="0"/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'!$H$47:$V$47</c:f>
              <c:numCache>
                <c:formatCode>0.00%</c:formatCode>
                <c:ptCount val="15"/>
                <c:pt idx="0">
                  <c:v>-2.4192990944909101E-3</c:v>
                </c:pt>
                <c:pt idx="1">
                  <c:v>-5.1589647304707779E-3</c:v>
                </c:pt>
                <c:pt idx="2">
                  <c:v>-6.8875312214641791E-3</c:v>
                </c:pt>
                <c:pt idx="3">
                  <c:v>-8.8303578107179932E-3</c:v>
                </c:pt>
                <c:pt idx="4">
                  <c:v>-1.143493973060734E-2</c:v>
                </c:pt>
                <c:pt idx="5">
                  <c:v>-1.52288902200067E-2</c:v>
                </c:pt>
                <c:pt idx="6">
                  <c:v>-8.3755948189103164E-3</c:v>
                </c:pt>
                <c:pt idx="7">
                  <c:v>-1.1114696446312973E-2</c:v>
                </c:pt>
                <c:pt idx="8">
                  <c:v>-1.4222144952541501E-2</c:v>
                </c:pt>
                <c:pt idx="9">
                  <c:v>-1.781046430168149E-2</c:v>
                </c:pt>
                <c:pt idx="10">
                  <c:v>-1.5708455283439518E-2</c:v>
                </c:pt>
                <c:pt idx="11">
                  <c:v>-1.4183025333348753E-2</c:v>
                </c:pt>
                <c:pt idx="12">
                  <c:v>-1.4E-2</c:v>
                </c:pt>
                <c:pt idx="13">
                  <c:v>-1.3999999999999999E-2</c:v>
                </c:pt>
                <c:pt idx="14">
                  <c:v>-1.4999999999999999E-2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6328536"/>
        <c:axId val="656328144"/>
      </c:barChart>
      <c:lineChart>
        <c:grouping val="standard"/>
        <c:varyColors val="0"/>
        <c:ser>
          <c:idx val="1"/>
          <c:order val="0"/>
          <c:tx>
            <c:strRef>
              <c:f>'Graf 11+12 '!$G$23</c:f>
              <c:strCache>
                <c:ptCount val="1"/>
                <c:pt idx="0">
                  <c:v>CAB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11+12 '!$H$42:$V$42</c:f>
              <c:strCach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</c:strCache>
            </c:strRef>
          </c:cat>
          <c:val>
            <c:numRef>
              <c:f>'Graf 11+12 '!$H$43:$V$43</c:f>
              <c:numCache>
                <c:formatCode>0.00%</c:formatCode>
                <c:ptCount val="15"/>
                <c:pt idx="0">
                  <c:v>-0.10132255017165502</c:v>
                </c:pt>
                <c:pt idx="1">
                  <c:v>-0.10620351531348463</c:v>
                </c:pt>
                <c:pt idx="2">
                  <c:v>-9.4582912824692805E-2</c:v>
                </c:pt>
                <c:pt idx="3">
                  <c:v>-5.8667689116681715E-2</c:v>
                </c:pt>
                <c:pt idx="4">
                  <c:v>-6.4465229010381597E-2</c:v>
                </c:pt>
                <c:pt idx="5">
                  <c:v>-3.4471959708261321E-2</c:v>
                </c:pt>
                <c:pt idx="6">
                  <c:v>-4.7116420324046726E-2</c:v>
                </c:pt>
                <c:pt idx="7">
                  <c:v>-4.9513494869753462E-2</c:v>
                </c:pt>
                <c:pt idx="8">
                  <c:v>9.3943181843189998E-3</c:v>
                </c:pt>
                <c:pt idx="9">
                  <c:v>1.8295836530947601E-2</c:v>
                </c:pt>
                <c:pt idx="10">
                  <c:v>1.1903137951575294E-2</c:v>
                </c:pt>
                <c:pt idx="11">
                  <c:v>2.135079082439597E-3</c:v>
                </c:pt>
                <c:pt idx="12">
                  <c:v>2E-3</c:v>
                </c:pt>
                <c:pt idx="13">
                  <c:v>1.7000000000000001E-2</c:v>
                </c:pt>
                <c:pt idx="14">
                  <c:v>2.4E-2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328536"/>
        <c:axId val="656328144"/>
      </c:lineChart>
      <c:catAx>
        <c:axId val="656328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56328144"/>
        <c:crosses val="autoZero"/>
        <c:auto val="1"/>
        <c:lblAlgn val="ctr"/>
        <c:lblOffset val="100"/>
        <c:noMultiLvlLbl val="1"/>
      </c:catAx>
      <c:valAx>
        <c:axId val="656328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656328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9799062686012367E-2"/>
          <c:y val="1.5117940756884709E-2"/>
          <c:w val="0.88121588563565478"/>
          <c:h val="0.1592549591591426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13 + Tab 5 '!$K$4</c:f>
              <c:strCache>
                <c:ptCount val="1"/>
                <c:pt idx="0">
                  <c:v>Rast HDP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11111111111110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111111111111059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66666666666664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77777777777777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666666666666767E-2"/>
                  <c:y val="-1.388888888888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13 + Tab 5 '!$L$3:$Q$3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13 + Tab 5 '!$L$4:$Q$4</c:f>
              <c:numCache>
                <c:formatCode>0.0</c:formatCode>
                <c:ptCount val="6"/>
                <c:pt idx="0">
                  <c:v>3.8</c:v>
                </c:pt>
                <c:pt idx="1">
                  <c:v>3.3</c:v>
                </c:pt>
                <c:pt idx="2">
                  <c:v>3.3</c:v>
                </c:pt>
                <c:pt idx="3">
                  <c:v>4</c:v>
                </c:pt>
                <c:pt idx="4">
                  <c:v>4.4000000000000004</c:v>
                </c:pt>
                <c:pt idx="5">
                  <c:v>3.8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13 + Tab 5 '!$K$5</c:f>
              <c:strCache>
                <c:ptCount val="1"/>
                <c:pt idx="0">
                  <c:v>Bez JLR</c:v>
                </c:pt>
              </c:strCache>
            </c:strRef>
          </c:tx>
          <c:spPr>
            <a:ln w="19050">
              <a:solidFill>
                <a:srgbClr val="7030A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11111111111110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000000000000001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7776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13 + Tab 5 '!$L$3:$Q$3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13 + Tab 5 '!$L$5:$Q$5</c:f>
              <c:numCache>
                <c:formatCode>0.0</c:formatCode>
                <c:ptCount val="6"/>
                <c:pt idx="0">
                  <c:v>3.77</c:v>
                </c:pt>
                <c:pt idx="1">
                  <c:v>3.27</c:v>
                </c:pt>
                <c:pt idx="2">
                  <c:v>3.13</c:v>
                </c:pt>
                <c:pt idx="3">
                  <c:v>3.78</c:v>
                </c:pt>
                <c:pt idx="4">
                  <c:v>3.7500000000000004</c:v>
                </c:pt>
                <c:pt idx="5">
                  <c:v>3.34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13 + Tab 5 '!$K$6</c:f>
              <c:strCache>
                <c:ptCount val="1"/>
                <c:pt idx="0">
                  <c:v>Bez JLR a VW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1666666666666664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32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88888888888889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13 + Tab 5 '!$L$3:$Q$3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13 + Tab 5 '!$L$6:$Q$6</c:f>
              <c:numCache>
                <c:formatCode>0.0</c:formatCode>
                <c:ptCount val="6"/>
                <c:pt idx="0">
                  <c:v>3.5</c:v>
                </c:pt>
                <c:pt idx="1">
                  <c:v>3</c:v>
                </c:pt>
                <c:pt idx="2">
                  <c:v>3.25</c:v>
                </c:pt>
                <c:pt idx="3">
                  <c:v>3.4699999999999998</c:v>
                </c:pt>
                <c:pt idx="4">
                  <c:v>3.5100000000000007</c:v>
                </c:pt>
                <c:pt idx="5">
                  <c:v>3.34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316592"/>
        <c:axId val="656316984"/>
      </c:lineChart>
      <c:catAx>
        <c:axId val="65631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sk-SK"/>
          </a:p>
        </c:txPr>
        <c:crossAx val="656316984"/>
        <c:crosses val="autoZero"/>
        <c:auto val="1"/>
        <c:lblAlgn val="ctr"/>
        <c:lblOffset val="100"/>
        <c:noMultiLvlLbl val="0"/>
      </c:catAx>
      <c:valAx>
        <c:axId val="656316984"/>
        <c:scaling>
          <c:orientation val="minMax"/>
          <c:max val="5"/>
          <c:min val="2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56316592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13 + Tab 5 '!$K$9</c:f>
              <c:strCache>
                <c:ptCount val="1"/>
                <c:pt idx="0">
                  <c:v>GDP growth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11111111111110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111111111111059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66666666666664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77777777777777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666666666666767E-2"/>
                  <c:y val="-1.388888888888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13 + Tab 5 '!$L$3:$Q$3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13 + Tab 5 '!$L$4:$Q$4</c:f>
              <c:numCache>
                <c:formatCode>0.0</c:formatCode>
                <c:ptCount val="6"/>
                <c:pt idx="0">
                  <c:v>3.8</c:v>
                </c:pt>
                <c:pt idx="1">
                  <c:v>3.3</c:v>
                </c:pt>
                <c:pt idx="2">
                  <c:v>3.3</c:v>
                </c:pt>
                <c:pt idx="3">
                  <c:v>4</c:v>
                </c:pt>
                <c:pt idx="4">
                  <c:v>4.4000000000000004</c:v>
                </c:pt>
                <c:pt idx="5">
                  <c:v>3.8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13 + Tab 5 '!$K$10</c:f>
              <c:strCache>
                <c:ptCount val="1"/>
                <c:pt idx="0">
                  <c:v>w/o JLR</c:v>
                </c:pt>
              </c:strCache>
            </c:strRef>
          </c:tx>
          <c:spPr>
            <a:ln w="19050">
              <a:solidFill>
                <a:srgbClr val="7030A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11111111111110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000000000000001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7776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13 + Tab 5 '!$L$3:$Q$3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13 + Tab 5 '!$L$5:$Q$5</c:f>
              <c:numCache>
                <c:formatCode>0.0</c:formatCode>
                <c:ptCount val="6"/>
                <c:pt idx="0">
                  <c:v>3.77</c:v>
                </c:pt>
                <c:pt idx="1">
                  <c:v>3.27</c:v>
                </c:pt>
                <c:pt idx="2">
                  <c:v>3.13</c:v>
                </c:pt>
                <c:pt idx="3">
                  <c:v>3.78</c:v>
                </c:pt>
                <c:pt idx="4">
                  <c:v>3.7500000000000004</c:v>
                </c:pt>
                <c:pt idx="5">
                  <c:v>3.34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13 + Tab 5 '!$K$11</c:f>
              <c:strCache>
                <c:ptCount val="1"/>
                <c:pt idx="0">
                  <c:v>w/o JLR and VW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1666666666666664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32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88888888888889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13 + Tab 5 '!$L$3:$Q$3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13 + Tab 5 '!$L$6:$Q$6</c:f>
              <c:numCache>
                <c:formatCode>0.0</c:formatCode>
                <c:ptCount val="6"/>
                <c:pt idx="0">
                  <c:v>3.5</c:v>
                </c:pt>
                <c:pt idx="1">
                  <c:v>3</c:v>
                </c:pt>
                <c:pt idx="2">
                  <c:v>3.25</c:v>
                </c:pt>
                <c:pt idx="3">
                  <c:v>3.4699999999999998</c:v>
                </c:pt>
                <c:pt idx="4">
                  <c:v>3.5100000000000007</c:v>
                </c:pt>
                <c:pt idx="5">
                  <c:v>3.34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317768"/>
        <c:axId val="656318160"/>
      </c:lineChart>
      <c:catAx>
        <c:axId val="656317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sk-SK"/>
          </a:p>
        </c:txPr>
        <c:crossAx val="656318160"/>
        <c:crosses val="autoZero"/>
        <c:auto val="1"/>
        <c:lblAlgn val="ctr"/>
        <c:lblOffset val="100"/>
        <c:noMultiLvlLbl val="0"/>
      </c:catAx>
      <c:valAx>
        <c:axId val="656318160"/>
        <c:scaling>
          <c:orientation val="minMax"/>
          <c:max val="5"/>
          <c:min val="2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56317768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14 + 15 '!$I$4</c:f>
              <c:strCache>
                <c:ptCount val="1"/>
                <c:pt idx="0">
                  <c:v>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14 + 15 '!$K$3:$P$3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'!$K$4:$P$4</c:f>
              <c:numCache>
                <c:formatCode>0.0</c:formatCode>
                <c:ptCount val="6"/>
                <c:pt idx="0">
                  <c:v>2.1504075281528703</c:v>
                </c:pt>
                <c:pt idx="1">
                  <c:v>1.8017835941855065</c:v>
                </c:pt>
                <c:pt idx="2">
                  <c:v>1.5772299676368717</c:v>
                </c:pt>
                <c:pt idx="3">
                  <c:v>1.7756102554596396</c:v>
                </c:pt>
                <c:pt idx="4">
                  <c:v>1.7928435284373589</c:v>
                </c:pt>
                <c:pt idx="5">
                  <c:v>1.7162133959537327</c:v>
                </c:pt>
              </c:numCache>
            </c:numRef>
          </c:val>
        </c:ser>
        <c:ser>
          <c:idx val="8"/>
          <c:order val="1"/>
          <c:tx>
            <c:strRef>
              <c:f>'Graf 14 + 15 '!$I$5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14 + 15 '!$K$3:$P$3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'!$K$5:$P$5</c:f>
              <c:numCache>
                <c:formatCode>0.0</c:formatCode>
                <c:ptCount val="6"/>
                <c:pt idx="0">
                  <c:v>3.5152992172789479</c:v>
                </c:pt>
                <c:pt idx="1">
                  <c:v>-2.1713362661064233</c:v>
                </c:pt>
                <c:pt idx="2">
                  <c:v>0.63374167098682077</c:v>
                </c:pt>
                <c:pt idx="3">
                  <c:v>0.40691366425515435</c:v>
                </c:pt>
                <c:pt idx="4">
                  <c:v>0.4081932214159788</c:v>
                </c:pt>
                <c:pt idx="5">
                  <c:v>0.72443904538393677</c:v>
                </c:pt>
              </c:numCache>
            </c:numRef>
          </c:val>
        </c:ser>
        <c:ser>
          <c:idx val="0"/>
          <c:order val="2"/>
          <c:tx>
            <c:strRef>
              <c:f>'Graf 14 + 15 '!$I$6</c:f>
              <c:strCache>
                <c:ptCount val="1"/>
                <c:pt idx="0">
                  <c:v>Zásoby a diskrepancia</c:v>
                </c:pt>
              </c:strCache>
            </c:strRef>
          </c:tx>
          <c:invertIfNegative val="0"/>
          <c:cat>
            <c:strRef>
              <c:f>'Graf 14 + 15 '!$K$3:$P$3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'!$K$6:$P$6</c:f>
              <c:numCache>
                <c:formatCode>0.0</c:formatCode>
                <c:ptCount val="6"/>
                <c:pt idx="0">
                  <c:v>-1.2873678539773525</c:v>
                </c:pt>
                <c:pt idx="1">
                  <c:v>1.6947821414559385</c:v>
                </c:pt>
                <c:pt idx="2">
                  <c:v>-0.59824293975664511</c:v>
                </c:pt>
                <c:pt idx="3">
                  <c:v>-2.1300403608254248E-2</c:v>
                </c:pt>
                <c:pt idx="4">
                  <c:v>4.9761372617391331E-2</c:v>
                </c:pt>
                <c:pt idx="5">
                  <c:v>4.8825688270590639E-3</c:v>
                </c:pt>
              </c:numCache>
            </c:numRef>
          </c:val>
        </c:ser>
        <c:ser>
          <c:idx val="1"/>
          <c:order val="3"/>
          <c:tx>
            <c:strRef>
              <c:f>'Graf 14 + 15 '!$I$7</c:f>
              <c:strCache>
                <c:ptCount val="1"/>
                <c:pt idx="0">
                  <c:v>Čistý export</c:v>
                </c:pt>
              </c:strCache>
            </c:strRef>
          </c:tx>
          <c:invertIfNegative val="0"/>
          <c:cat>
            <c:strRef>
              <c:f>'Graf 14 + 15 '!$K$3:$P$3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'!$K$7:$P$7</c:f>
              <c:numCache>
                <c:formatCode>0.0</c:formatCode>
                <c:ptCount val="6"/>
                <c:pt idx="0">
                  <c:v>-0.54725411155262427</c:v>
                </c:pt>
                <c:pt idx="1">
                  <c:v>1.9599202463784198</c:v>
                </c:pt>
                <c:pt idx="2">
                  <c:v>1.7111774465867484</c:v>
                </c:pt>
                <c:pt idx="3">
                  <c:v>1.8564000259707398</c:v>
                </c:pt>
                <c:pt idx="4">
                  <c:v>2.1061289322137053</c:v>
                </c:pt>
                <c:pt idx="5">
                  <c:v>1.3645910249021753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7651256"/>
        <c:axId val="607651648"/>
      </c:barChart>
      <c:lineChart>
        <c:grouping val="standard"/>
        <c:varyColors val="0"/>
        <c:ser>
          <c:idx val="2"/>
          <c:order val="4"/>
          <c:tx>
            <c:strRef>
              <c:f>'Graf 14 + 15 '!$I$8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14 + 15 '!$K$3:$P$3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'!$K$8:$P$8</c:f>
              <c:numCache>
                <c:formatCode>0.0</c:formatCode>
                <c:ptCount val="6"/>
                <c:pt idx="0">
                  <c:v>3.8310847799018415</c:v>
                </c:pt>
                <c:pt idx="1">
                  <c:v>3.2851497159134415</c:v>
                </c:pt>
                <c:pt idx="2">
                  <c:v>3.3239061454537957</c:v>
                </c:pt>
                <c:pt idx="3">
                  <c:v>4.0176235420772795</c:v>
                </c:pt>
                <c:pt idx="4">
                  <c:v>4.3569270546844345</c:v>
                </c:pt>
                <c:pt idx="5">
                  <c:v>3.8101260350669039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651256"/>
        <c:axId val="607651648"/>
      </c:lineChart>
      <c:catAx>
        <c:axId val="607651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07651648"/>
        <c:crosses val="autoZero"/>
        <c:auto val="1"/>
        <c:lblAlgn val="ctr"/>
        <c:lblOffset val="100"/>
        <c:noMultiLvlLbl val="0"/>
      </c:catAx>
      <c:valAx>
        <c:axId val="607651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607651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80035187909203"/>
          <c:y val="3.9351379048048349E-2"/>
          <c:w val="0.77216770980550498"/>
          <c:h val="0.259231804031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14 + 15 '!$I$12</c:f>
              <c:strCache>
                <c:ptCount val="1"/>
                <c:pt idx="0">
                  <c:v>Poľnohospodárstvo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'!$J$12:$O$12</c:f>
              <c:numCache>
                <c:formatCode>0.0</c:formatCode>
                <c:ptCount val="6"/>
                <c:pt idx="0">
                  <c:v>4.2192403658053879E-2</c:v>
                </c:pt>
                <c:pt idx="1">
                  <c:v>-4.3712289328599517E-2</c:v>
                </c:pt>
                <c:pt idx="2">
                  <c:v>-3.1176420661519721E-2</c:v>
                </c:pt>
                <c:pt idx="3">
                  <c:v>-3.0304826069815244E-2</c:v>
                </c:pt>
                <c:pt idx="4">
                  <c:v>-2.9664486077911365E-2</c:v>
                </c:pt>
                <c:pt idx="5">
                  <c:v>-2.9102675205796846E-2</c:v>
                </c:pt>
              </c:numCache>
            </c:numRef>
          </c:val>
        </c:ser>
        <c:ser>
          <c:idx val="8"/>
          <c:order val="1"/>
          <c:tx>
            <c:strRef>
              <c:f>'Graf 14 + 15 '!$I$13</c:f>
              <c:strCache>
                <c:ptCount val="1"/>
                <c:pt idx="0">
                  <c:v>Priemysel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'!$J$13:$O$13</c:f>
              <c:numCache>
                <c:formatCode>0.0</c:formatCode>
                <c:ptCount val="6"/>
                <c:pt idx="0">
                  <c:v>0.48377324236926972</c:v>
                </c:pt>
                <c:pt idx="1">
                  <c:v>0.82510805669099763</c:v>
                </c:pt>
                <c:pt idx="2">
                  <c:v>0.47962623796395776</c:v>
                </c:pt>
                <c:pt idx="3">
                  <c:v>0.3122243786659803</c:v>
                </c:pt>
                <c:pt idx="4">
                  <c:v>0.26461558958260384</c:v>
                </c:pt>
                <c:pt idx="5">
                  <c:v>0.26511083118391116</c:v>
                </c:pt>
              </c:numCache>
            </c:numRef>
          </c:val>
        </c:ser>
        <c:ser>
          <c:idx val="0"/>
          <c:order val="2"/>
          <c:tx>
            <c:strRef>
              <c:f>'Graf 14 + 15 '!$I$14</c:f>
              <c:strCache>
                <c:ptCount val="1"/>
                <c:pt idx="0">
                  <c:v>Trhové služby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'!$J$14:$O$14</c:f>
              <c:numCache>
                <c:formatCode>0.0</c:formatCode>
                <c:ptCount val="6"/>
                <c:pt idx="0">
                  <c:v>1.227583036494617</c:v>
                </c:pt>
                <c:pt idx="1">
                  <c:v>1.0035741743736675</c:v>
                </c:pt>
                <c:pt idx="2">
                  <c:v>1.1333076122046535</c:v>
                </c:pt>
                <c:pt idx="3">
                  <c:v>0.63871931086682177</c:v>
                </c:pt>
                <c:pt idx="4">
                  <c:v>0.54889724436449683</c:v>
                </c:pt>
                <c:pt idx="5">
                  <c:v>0.55046847479396888</c:v>
                </c:pt>
              </c:numCache>
            </c:numRef>
          </c:val>
        </c:ser>
        <c:ser>
          <c:idx val="1"/>
          <c:order val="3"/>
          <c:tx>
            <c:strRef>
              <c:f>'Graf 14 + 15 '!$I$15</c:f>
              <c:strCache>
                <c:ptCount val="1"/>
                <c:pt idx="0">
                  <c:v>Verejný sektor</c:v>
                </c:pt>
              </c:strCache>
            </c:strRef>
          </c:tx>
          <c:spPr>
            <a:solidFill>
              <a:srgbClr val="9E9E9E"/>
            </a:solidFill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'!$J$15:$O$15</c:f>
              <c:numCache>
                <c:formatCode>0.0</c:formatCode>
                <c:ptCount val="6"/>
                <c:pt idx="0">
                  <c:v>0.26804321257819697</c:v>
                </c:pt>
                <c:pt idx="1">
                  <c:v>0.35927002682284803</c:v>
                </c:pt>
                <c:pt idx="2">
                  <c:v>0.14216666688208393</c:v>
                </c:pt>
                <c:pt idx="3">
                  <c:v>0.10040366471587293</c:v>
                </c:pt>
                <c:pt idx="4">
                  <c:v>3.9908504739295511E-2</c:v>
                </c:pt>
                <c:pt idx="5">
                  <c:v>0</c:v>
                </c:pt>
              </c:numCache>
            </c:numRef>
          </c:val>
        </c:ser>
        <c:ser>
          <c:idx val="2"/>
          <c:order val="4"/>
          <c:tx>
            <c:strRef>
              <c:f>'Graf 14 + 15 '!$I$16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'!$J$16:$O$16</c:f>
              <c:numCache>
                <c:formatCode>0.0</c:formatCode>
                <c:ptCount val="6"/>
                <c:pt idx="0">
                  <c:v>-4.4756334370752167E-2</c:v>
                </c:pt>
                <c:pt idx="1">
                  <c:v>0.23554351666470524</c:v>
                </c:pt>
                <c:pt idx="2">
                  <c:v>0.12340670102182226</c:v>
                </c:pt>
                <c:pt idx="3">
                  <c:v>0.11597946613443125</c:v>
                </c:pt>
                <c:pt idx="4">
                  <c:v>8.7382791634310161E-2</c:v>
                </c:pt>
                <c:pt idx="5">
                  <c:v>0.10954115849558532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7652432"/>
        <c:axId val="607652824"/>
      </c:barChart>
      <c:lineChart>
        <c:grouping val="standard"/>
        <c:varyColors val="0"/>
        <c:ser>
          <c:idx val="3"/>
          <c:order val="5"/>
          <c:tx>
            <c:strRef>
              <c:f>'Graf 14 + 15 '!$I$17</c:f>
              <c:strCache>
                <c:ptCount val="1"/>
                <c:pt idx="0">
                  <c:v>Hospodárstvo 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'!$J$17:$O$17</c:f>
              <c:numCache>
                <c:formatCode>0.0</c:formatCode>
                <c:ptCount val="6"/>
                <c:pt idx="0">
                  <c:v>1.9768355607293842</c:v>
                </c:pt>
                <c:pt idx="1">
                  <c:v>2.3797834852236299</c:v>
                </c:pt>
                <c:pt idx="2">
                  <c:v>1.8473307974109732</c:v>
                </c:pt>
                <c:pt idx="3">
                  <c:v>1.1370219943133142</c:v>
                </c:pt>
                <c:pt idx="4">
                  <c:v>0.91113964424278659</c:v>
                </c:pt>
                <c:pt idx="5">
                  <c:v>0.89601778926768905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652432"/>
        <c:axId val="607652824"/>
      </c:lineChart>
      <c:catAx>
        <c:axId val="6076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07652824"/>
        <c:crosses val="autoZero"/>
        <c:auto val="1"/>
        <c:lblAlgn val="ctr"/>
        <c:lblOffset val="100"/>
        <c:noMultiLvlLbl val="0"/>
      </c:catAx>
      <c:valAx>
        <c:axId val="607652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607652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147517425194633"/>
          <c:y val="5.9291459643332128E-2"/>
          <c:w val="0.66206966334588302"/>
          <c:h val="0.311578911207408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 + 2'!$A$45</c:f>
              <c:strCache>
                <c:ptCount val="1"/>
                <c:pt idx="0">
                  <c:v>Gemeral government 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 + 2'!$B$44:$G$44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+ 2'!$B$45:$G$45</c:f>
              <c:numCache>
                <c:formatCode>0.00</c:formatCode>
                <c:ptCount val="6"/>
                <c:pt idx="0">
                  <c:v>-2.7445806862164637</c:v>
                </c:pt>
                <c:pt idx="1">
                  <c:v>-1.6817818285144437</c:v>
                </c:pt>
                <c:pt idx="2">
                  <c:v>-1.2399995686941512</c:v>
                </c:pt>
                <c:pt idx="3">
                  <c:v>-0.50000000000000522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 1 + 2'!$A$46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 + 2'!$B$44:$G$44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+ 2'!$B$46:$G$46</c:f>
              <c:numCache>
                <c:formatCode>0.00</c:formatCode>
                <c:ptCount val="6"/>
                <c:pt idx="0">
                  <c:v>-2.3215508695872575</c:v>
                </c:pt>
                <c:pt idx="1">
                  <c:v>-1.3881204053720908</c:v>
                </c:pt>
                <c:pt idx="2">
                  <c:v>-1.0124596682186437</c:v>
                </c:pt>
                <c:pt idx="3">
                  <c:v>-0.40487011073020646</c:v>
                </c:pt>
                <c:pt idx="4">
                  <c:v>-0.24007295457461639</c:v>
                </c:pt>
                <c:pt idx="5">
                  <c:v>-0.36551718565750513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40322072"/>
        <c:axId val="5403224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#ODKAZ!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 1 + 2'!$B$44:$G$44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-0.76824761672633235</c:v>
                    </c:pt>
                    <c:pt idx="1">
                      <c:v>-0.48303497501143366</c:v>
                    </c:pt>
                    <c:pt idx="2">
                      <c:v>-0.40937913778683582</c:v>
                    </c:pt>
                    <c:pt idx="3">
                      <c:v>-0.26601868576682675</c:v>
                    </c:pt>
                    <c:pt idx="4">
                      <c:v>8.2188494979382049E-2</c:v>
                    </c:pt>
                    <c:pt idx="5">
                      <c:v>0.65512676216840304</c:v>
                    </c:pt>
                  </c:numLit>
                </c:val>
              </c15:ser>
            </c15:filteredBarSeries>
            <c15:filteredBarSeries>
              <c15:ser>
                <c:idx val="2"/>
                <c:order val="2"/>
                <c:tx>
                  <c:v>#ODKAZ!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1 + 2'!$B$44:$G$44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-1.2519740276885707E-3</c:v>
                    </c:pt>
                    <c:pt idx="1">
                      <c:v>-0.31213125928600882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</c15:ser>
            </c15:filteredBarSeries>
            <c15:filteredBarSeries>
              <c15:ser>
                <c:idx val="5"/>
                <c:order val="5"/>
                <c:tx>
                  <c:v>#ODKAZ!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1 + 2'!$B$44:$G$44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0.4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'Graf 1 + 2'!$A$47</c:f>
              <c:strCache>
                <c:ptCount val="1"/>
                <c:pt idx="0">
                  <c:v>Consolidation effort EC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1.0532215629464728E-2"/>
                  <c:y val="-5.552460317460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'Graf 1 + 2'!$B$47:$G$47</c:f>
              <c:numCache>
                <c:formatCode>0.00</c:formatCode>
                <c:ptCount val="6"/>
                <c:pt idx="0">
                  <c:v>-0.11919044031814474</c:v>
                </c:pt>
                <c:pt idx="1">
                  <c:v>0.93343046421516673</c:v>
                </c:pt>
                <c:pt idx="2">
                  <c:v>0.37566073715344706</c:v>
                </c:pt>
                <c:pt idx="3">
                  <c:v>0.60758955748843735</c:v>
                </c:pt>
                <c:pt idx="4">
                  <c:v>0.16479715615559007</c:v>
                </c:pt>
                <c:pt idx="5">
                  <c:v>-0.12544423108288874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322072"/>
        <c:axId val="54032246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#ODKAZ!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6"/>
                    <c:pt idx="0">
                      <c:v>2014</c:v>
                    </c:pt>
                    <c:pt idx="1">
                      <c:v>2015</c:v>
                    </c:pt>
                    <c:pt idx="2">
                      <c:v>2016</c:v>
                    </c:pt>
                    <c:pt idx="3">
                      <c:v>2017</c:v>
                    </c:pt>
                    <c:pt idx="4">
                      <c:v>2018</c:v>
                    </c:pt>
                    <c:pt idx="5">
                      <c:v>2019</c:v>
                    </c:pt>
                  </c:numLit>
                </c:cat>
                <c:val>
                  <c:numLit>
                    <c:formatCode>General</c:formatCode>
                    <c:ptCount val="6"/>
                    <c:pt idx="0">
                      <c:v>-0.36519077765016172</c:v>
                    </c:pt>
                    <c:pt idx="1">
                      <c:v>-0.25433335645657884</c:v>
                    </c:pt>
                    <c:pt idx="2">
                      <c:v>0.4542129034893938</c:v>
                    </c:pt>
                    <c:pt idx="3">
                      <c:v>0.69663954797999073</c:v>
                    </c:pt>
                    <c:pt idx="4">
                      <c:v>0.50179281925379127</c:v>
                    </c:pt>
                    <c:pt idx="5">
                      <c:v>2.2188494979382023E-2</c:v>
                    </c:pt>
                  </c:numLit>
                </c:val>
                <c:smooth val="0"/>
              </c15:ser>
            </c15:filteredLineSeries>
          </c:ext>
        </c:extLst>
      </c:lineChart>
      <c:catAx>
        <c:axId val="54032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0322464"/>
        <c:crosses val="autoZero"/>
        <c:auto val="1"/>
        <c:lblAlgn val="ctr"/>
        <c:lblOffset val="100"/>
        <c:noMultiLvlLbl val="0"/>
      </c:catAx>
      <c:valAx>
        <c:axId val="540322464"/>
        <c:scaling>
          <c:orientation val="minMax"/>
          <c:max val="1.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03220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9994083639456E-2"/>
          <c:y val="4.535714285714286E-2"/>
          <c:w val="0.89999995244083164"/>
          <c:h val="0.14667589005718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14 + 15 '!$I$21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14 + 15 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14 + 15 '!$J$4:$O$4</c:f>
              <c:numCache>
                <c:formatCode>0.0</c:formatCode>
                <c:ptCount val="6"/>
                <c:pt idx="0">
                  <c:v>1.6954445584978419</c:v>
                </c:pt>
                <c:pt idx="1">
                  <c:v>2.1504075281528703</c:v>
                </c:pt>
                <c:pt idx="2">
                  <c:v>1.8017835941855065</c:v>
                </c:pt>
                <c:pt idx="3">
                  <c:v>1.5772299676368717</c:v>
                </c:pt>
                <c:pt idx="4">
                  <c:v>1.7756102554596396</c:v>
                </c:pt>
                <c:pt idx="5">
                  <c:v>1.7928435284373589</c:v>
                </c:pt>
              </c:numCache>
            </c:numRef>
          </c:val>
        </c:ser>
        <c:ser>
          <c:idx val="8"/>
          <c:order val="1"/>
          <c:tx>
            <c:strRef>
              <c:f>'Graf 14 + 15 '!$I$22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14 + 15 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14 + 15 '!$J$5:$O$5</c:f>
              <c:numCache>
                <c:formatCode>0.0</c:formatCode>
                <c:ptCount val="6"/>
                <c:pt idx="0">
                  <c:v>0.24787866812365492</c:v>
                </c:pt>
                <c:pt idx="1">
                  <c:v>3.5152992172789479</c:v>
                </c:pt>
                <c:pt idx="2">
                  <c:v>-2.1713362661064233</c:v>
                </c:pt>
                <c:pt idx="3">
                  <c:v>0.63374167098682077</c:v>
                </c:pt>
                <c:pt idx="4">
                  <c:v>0.40691366425515435</c:v>
                </c:pt>
                <c:pt idx="5">
                  <c:v>0.4081932214159788</c:v>
                </c:pt>
              </c:numCache>
            </c:numRef>
          </c:val>
        </c:ser>
        <c:ser>
          <c:idx val="0"/>
          <c:order val="2"/>
          <c:tx>
            <c:strRef>
              <c:f>'Graf 14 + 15 '!$I$23</c:f>
              <c:strCache>
                <c:ptCount val="1"/>
                <c:pt idx="0">
                  <c:v>Inventories and disc.</c:v>
                </c:pt>
              </c:strCache>
            </c:strRef>
          </c:tx>
          <c:invertIfNegative val="0"/>
          <c:cat>
            <c:strRef>
              <c:f>'Graf 14 + 15 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14 + 15 '!$J$6:$O$6</c:f>
              <c:numCache>
                <c:formatCode>0.0</c:formatCode>
                <c:ptCount val="6"/>
                <c:pt idx="0">
                  <c:v>0.98558191106202431</c:v>
                </c:pt>
                <c:pt idx="1">
                  <c:v>-1.2873678539773525</c:v>
                </c:pt>
                <c:pt idx="2">
                  <c:v>1.6947821414559385</c:v>
                </c:pt>
                <c:pt idx="3">
                  <c:v>-0.59824293975664511</c:v>
                </c:pt>
                <c:pt idx="4">
                  <c:v>-2.1300403608254248E-2</c:v>
                </c:pt>
                <c:pt idx="5">
                  <c:v>4.9761372617391331E-2</c:v>
                </c:pt>
              </c:numCache>
            </c:numRef>
          </c:val>
        </c:ser>
        <c:ser>
          <c:idx val="1"/>
          <c:order val="3"/>
          <c:tx>
            <c:strRef>
              <c:f>'Graf 14 + 15 '!$I$24</c:f>
              <c:strCache>
                <c:ptCount val="1"/>
                <c:pt idx="0">
                  <c:v>Net export</c:v>
                </c:pt>
              </c:strCache>
            </c:strRef>
          </c:tx>
          <c:invertIfNegative val="0"/>
          <c:cat>
            <c:strRef>
              <c:f>'Graf 14 + 15 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14 + 15 '!$J$7:$O$7</c:f>
              <c:numCache>
                <c:formatCode>0.0</c:formatCode>
                <c:ptCount val="6"/>
                <c:pt idx="0">
                  <c:v>-0.3580525449042587</c:v>
                </c:pt>
                <c:pt idx="1">
                  <c:v>-0.54725411155262427</c:v>
                </c:pt>
                <c:pt idx="2">
                  <c:v>1.9599202463784198</c:v>
                </c:pt>
                <c:pt idx="3">
                  <c:v>1.7111774465867484</c:v>
                </c:pt>
                <c:pt idx="4">
                  <c:v>1.8564000259707398</c:v>
                </c:pt>
                <c:pt idx="5">
                  <c:v>2.1061289322137053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7653608"/>
        <c:axId val="607654000"/>
      </c:barChart>
      <c:lineChart>
        <c:grouping val="standard"/>
        <c:varyColors val="0"/>
        <c:ser>
          <c:idx val="2"/>
          <c:order val="4"/>
          <c:tx>
            <c:strRef>
              <c:f>'Graf 14 + 15 '!$I$25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14 + 15 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14 + 15 '!$J$8:$O$8</c:f>
              <c:numCache>
                <c:formatCode>0.0</c:formatCode>
                <c:ptCount val="6"/>
                <c:pt idx="0">
                  <c:v>2.5708525927792625</c:v>
                </c:pt>
                <c:pt idx="1">
                  <c:v>3.8310847799018415</c:v>
                </c:pt>
                <c:pt idx="2">
                  <c:v>3.2851497159134415</c:v>
                </c:pt>
                <c:pt idx="3">
                  <c:v>3.3239061454537957</c:v>
                </c:pt>
                <c:pt idx="4">
                  <c:v>4.0176235420772795</c:v>
                </c:pt>
                <c:pt idx="5">
                  <c:v>4.3569270546844345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653608"/>
        <c:axId val="607654000"/>
      </c:lineChart>
      <c:catAx>
        <c:axId val="60765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07654000"/>
        <c:crosses val="autoZero"/>
        <c:auto val="1"/>
        <c:lblAlgn val="ctr"/>
        <c:lblOffset val="100"/>
        <c:noMultiLvlLbl val="0"/>
      </c:catAx>
      <c:valAx>
        <c:axId val="607654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607653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80035187909203"/>
          <c:y val="3.9351379048048349E-2"/>
          <c:w val="0.77216770980550498"/>
          <c:h val="0.259231804031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14 + 15 '!$I$29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'!$J$12:$O$12</c:f>
              <c:numCache>
                <c:formatCode>0.0</c:formatCode>
                <c:ptCount val="6"/>
                <c:pt idx="0">
                  <c:v>4.2192403658053879E-2</c:v>
                </c:pt>
                <c:pt idx="1">
                  <c:v>-4.3712289328599517E-2</c:v>
                </c:pt>
                <c:pt idx="2">
                  <c:v>-3.1176420661519721E-2</c:v>
                </c:pt>
                <c:pt idx="3">
                  <c:v>-3.0304826069815244E-2</c:v>
                </c:pt>
                <c:pt idx="4">
                  <c:v>-2.9664486077911365E-2</c:v>
                </c:pt>
                <c:pt idx="5">
                  <c:v>-2.9102675205796846E-2</c:v>
                </c:pt>
              </c:numCache>
            </c:numRef>
          </c:val>
        </c:ser>
        <c:ser>
          <c:idx val="8"/>
          <c:order val="1"/>
          <c:tx>
            <c:strRef>
              <c:f>'Graf 14 + 15 '!$I$30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'!$J$13:$O$13</c:f>
              <c:numCache>
                <c:formatCode>0.0</c:formatCode>
                <c:ptCount val="6"/>
                <c:pt idx="0">
                  <c:v>0.48377324236926972</c:v>
                </c:pt>
                <c:pt idx="1">
                  <c:v>0.82510805669099763</c:v>
                </c:pt>
                <c:pt idx="2">
                  <c:v>0.47962623796395776</c:v>
                </c:pt>
                <c:pt idx="3">
                  <c:v>0.3122243786659803</c:v>
                </c:pt>
                <c:pt idx="4">
                  <c:v>0.26461558958260384</c:v>
                </c:pt>
                <c:pt idx="5">
                  <c:v>0.26511083118391116</c:v>
                </c:pt>
              </c:numCache>
            </c:numRef>
          </c:val>
        </c:ser>
        <c:ser>
          <c:idx val="0"/>
          <c:order val="2"/>
          <c:tx>
            <c:strRef>
              <c:f>'Graf 14 + 15 '!$I$31</c:f>
              <c:strCache>
                <c:ptCount val="1"/>
                <c:pt idx="0">
                  <c:v>Market services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'!$J$14:$O$14</c:f>
              <c:numCache>
                <c:formatCode>0.0</c:formatCode>
                <c:ptCount val="6"/>
                <c:pt idx="0">
                  <c:v>1.227583036494617</c:v>
                </c:pt>
                <c:pt idx="1">
                  <c:v>1.0035741743736675</c:v>
                </c:pt>
                <c:pt idx="2">
                  <c:v>1.1333076122046535</c:v>
                </c:pt>
                <c:pt idx="3">
                  <c:v>0.63871931086682177</c:v>
                </c:pt>
                <c:pt idx="4">
                  <c:v>0.54889724436449683</c:v>
                </c:pt>
                <c:pt idx="5">
                  <c:v>0.55046847479396888</c:v>
                </c:pt>
              </c:numCache>
            </c:numRef>
          </c:val>
        </c:ser>
        <c:ser>
          <c:idx val="1"/>
          <c:order val="3"/>
          <c:tx>
            <c:strRef>
              <c:f>'Graf 14 + 15 '!$I$32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9E9E9E"/>
            </a:solidFill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'!$J$15:$O$15</c:f>
              <c:numCache>
                <c:formatCode>0.0</c:formatCode>
                <c:ptCount val="6"/>
                <c:pt idx="0">
                  <c:v>0.26804321257819697</c:v>
                </c:pt>
                <c:pt idx="1">
                  <c:v>0.35927002682284803</c:v>
                </c:pt>
                <c:pt idx="2">
                  <c:v>0.14216666688208393</c:v>
                </c:pt>
                <c:pt idx="3">
                  <c:v>0.10040366471587293</c:v>
                </c:pt>
                <c:pt idx="4">
                  <c:v>3.9908504739295511E-2</c:v>
                </c:pt>
                <c:pt idx="5">
                  <c:v>0</c:v>
                </c:pt>
              </c:numCache>
            </c:numRef>
          </c:val>
        </c:ser>
        <c:ser>
          <c:idx val="2"/>
          <c:order val="4"/>
          <c:tx>
            <c:strRef>
              <c:f>'Graf 14 + 15 '!$I$33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'!$J$16:$O$16</c:f>
              <c:numCache>
                <c:formatCode>0.0</c:formatCode>
                <c:ptCount val="6"/>
                <c:pt idx="0">
                  <c:v>-4.4756334370752167E-2</c:v>
                </c:pt>
                <c:pt idx="1">
                  <c:v>0.23554351666470524</c:v>
                </c:pt>
                <c:pt idx="2">
                  <c:v>0.12340670102182226</c:v>
                </c:pt>
                <c:pt idx="3">
                  <c:v>0.11597946613443125</c:v>
                </c:pt>
                <c:pt idx="4">
                  <c:v>8.7382791634310161E-2</c:v>
                </c:pt>
                <c:pt idx="5">
                  <c:v>0.10954115849558532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46768"/>
        <c:axId val="613347160"/>
      </c:barChart>
      <c:lineChart>
        <c:grouping val="standard"/>
        <c:varyColors val="0"/>
        <c:ser>
          <c:idx val="3"/>
          <c:order val="5"/>
          <c:tx>
            <c:strRef>
              <c:f>'Graf 14 + 15 '!$I$34</c:f>
              <c:strCache>
                <c:ptCount val="1"/>
                <c:pt idx="0">
                  <c:v>Total economy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14 + 15 '!$J$11:$O$11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2017F</c:v>
                </c:pt>
                <c:pt idx="3">
                  <c:v>2018F</c:v>
                </c:pt>
                <c:pt idx="4">
                  <c:v>2019F</c:v>
                </c:pt>
                <c:pt idx="5">
                  <c:v>2020F</c:v>
                </c:pt>
              </c:strCache>
            </c:strRef>
          </c:cat>
          <c:val>
            <c:numRef>
              <c:f>'Graf 14 + 15 '!$J$17:$O$17</c:f>
              <c:numCache>
                <c:formatCode>0.0</c:formatCode>
                <c:ptCount val="6"/>
                <c:pt idx="0">
                  <c:v>1.9768355607293842</c:v>
                </c:pt>
                <c:pt idx="1">
                  <c:v>2.3797834852236299</c:v>
                </c:pt>
                <c:pt idx="2">
                  <c:v>1.8473307974109732</c:v>
                </c:pt>
                <c:pt idx="3">
                  <c:v>1.1370219943133142</c:v>
                </c:pt>
                <c:pt idx="4">
                  <c:v>0.91113964424278659</c:v>
                </c:pt>
                <c:pt idx="5">
                  <c:v>0.89601778926768905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346768"/>
        <c:axId val="613347160"/>
      </c:lineChart>
      <c:catAx>
        <c:axId val="6133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13347160"/>
        <c:crosses val="autoZero"/>
        <c:auto val="1"/>
        <c:lblAlgn val="ctr"/>
        <c:lblOffset val="100"/>
        <c:noMultiLvlLbl val="0"/>
      </c:catAx>
      <c:valAx>
        <c:axId val="613347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613346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349656395337829"/>
          <c:y val="7.8374139505067979E-3"/>
          <c:w val="0.66206966334588302"/>
          <c:h val="0.311578911207408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558438681403356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16 + 17 '!$I$5</c:f>
              <c:strCache>
                <c:ptCount val="1"/>
                <c:pt idx="0">
                  <c:v>Tovary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16 + 17 '!$J$4:$U$4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16 + 17 '!$J$5:$U$5</c:f>
              <c:numCache>
                <c:formatCode>0.0</c:formatCode>
                <c:ptCount val="12"/>
                <c:pt idx="0">
                  <c:v>0.36219355355178773</c:v>
                </c:pt>
                <c:pt idx="1">
                  <c:v>-0.11822474702912748</c:v>
                </c:pt>
                <c:pt idx="2">
                  <c:v>-5.0875063805645659E-2</c:v>
                </c:pt>
                <c:pt idx="3">
                  <c:v>3.4465751185170519</c:v>
                </c:pt>
                <c:pt idx="4">
                  <c:v>4.060749740408462</c:v>
                </c:pt>
                <c:pt idx="5">
                  <c:v>3.7639859620143388</c:v>
                </c:pt>
                <c:pt idx="6">
                  <c:v>2.687971001964812</c:v>
                </c:pt>
                <c:pt idx="7">
                  <c:v>3.0053213890917139</c:v>
                </c:pt>
                <c:pt idx="8">
                  <c:v>4.5999999999999996</c:v>
                </c:pt>
                <c:pt idx="9">
                  <c:v>5.8</c:v>
                </c:pt>
                <c:pt idx="10">
                  <c:v>7.1</c:v>
                </c:pt>
                <c:pt idx="11" formatCode="General">
                  <c:v>7.8</c:v>
                </c:pt>
              </c:numCache>
            </c:numRef>
          </c:val>
        </c:ser>
        <c:ser>
          <c:idx val="8"/>
          <c:order val="1"/>
          <c:tx>
            <c:strRef>
              <c:f>'Graf 16 + 17 '!$I$6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16 + 17 '!$J$4:$U$4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16 + 17 '!$J$6:$T$6</c:f>
              <c:numCache>
                <c:formatCode>0.0</c:formatCode>
                <c:ptCount val="11"/>
                <c:pt idx="0">
                  <c:v>-1.4104157451871724</c:v>
                </c:pt>
                <c:pt idx="1">
                  <c:v>-0.96383353809020145</c:v>
                </c:pt>
                <c:pt idx="2">
                  <c:v>-0.38170241746350625</c:v>
                </c:pt>
                <c:pt idx="3">
                  <c:v>0.57961021975686111</c:v>
                </c:pt>
                <c:pt idx="4">
                  <c:v>0.48194512381575949</c:v>
                </c:pt>
                <c:pt idx="5">
                  <c:v>0.14282448823090552</c:v>
                </c:pt>
                <c:pt idx="6">
                  <c:v>0.12061347340407873</c:v>
                </c:pt>
                <c:pt idx="7">
                  <c:v>0.41169495293856101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</c:ser>
        <c:ser>
          <c:idx val="0"/>
          <c:order val="2"/>
          <c:tx>
            <c:strRef>
              <c:f>'Graf 16 + 17 '!$I$7</c:f>
              <c:strCache>
                <c:ptCount val="1"/>
                <c:pt idx="0">
                  <c:v>Sekundárne výnosy</c:v>
                </c:pt>
              </c:strCache>
            </c:strRef>
          </c:tx>
          <c:invertIfNegative val="0"/>
          <c:cat>
            <c:strRef>
              <c:f>'Graf 16 + 17 '!$J$4:$U$4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16 + 17 '!$J$7:$U$7</c:f>
              <c:numCache>
                <c:formatCode>0.0</c:formatCode>
                <c:ptCount val="12"/>
                <c:pt idx="0">
                  <c:v>-0.87642723753404461</c:v>
                </c:pt>
                <c:pt idx="1">
                  <c:v>-2.7911181710716817</c:v>
                </c:pt>
                <c:pt idx="2">
                  <c:v>-3.4059275992745635</c:v>
                </c:pt>
                <c:pt idx="3">
                  <c:v>-1.6640231845630495</c:v>
                </c:pt>
                <c:pt idx="4">
                  <c:v>-0.93174793605157802</c:v>
                </c:pt>
                <c:pt idx="5">
                  <c:v>-1.1447575130658008</c:v>
                </c:pt>
                <c:pt idx="6">
                  <c:v>-1.1782183819887768</c:v>
                </c:pt>
                <c:pt idx="7">
                  <c:v>-2.5505558437708449</c:v>
                </c:pt>
                <c:pt idx="8">
                  <c:v>-2</c:v>
                </c:pt>
                <c:pt idx="9">
                  <c:v>-2.5</c:v>
                </c:pt>
                <c:pt idx="10">
                  <c:v>-2.9</c:v>
                </c:pt>
                <c:pt idx="11" formatCode="General">
                  <c:v>-3.2</c:v>
                </c:pt>
              </c:numCache>
            </c:numRef>
          </c:val>
        </c:ser>
        <c:ser>
          <c:idx val="1"/>
          <c:order val="3"/>
          <c:tx>
            <c:strRef>
              <c:f>'Graf 16 + 17 '!$I$8</c:f>
              <c:strCache>
                <c:ptCount val="1"/>
                <c:pt idx="0">
                  <c:v>Primárne výnosy</c:v>
                </c:pt>
              </c:strCache>
            </c:strRef>
          </c:tx>
          <c:invertIfNegative val="0"/>
          <c:cat>
            <c:strRef>
              <c:f>'Graf 16 + 17 '!$J$4:$U$4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16 + 17 '!$J$8:$U$8</c:f>
              <c:numCache>
                <c:formatCode>0.0</c:formatCode>
                <c:ptCount val="12"/>
                <c:pt idx="0">
                  <c:v>-1.5227580668766247</c:v>
                </c:pt>
                <c:pt idx="1">
                  <c:v>-0.83770746059807966</c:v>
                </c:pt>
                <c:pt idx="2">
                  <c:v>-1.1128312228899209</c:v>
                </c:pt>
                <c:pt idx="3">
                  <c:v>-1.4217820144149362</c:v>
                </c:pt>
                <c:pt idx="4">
                  <c:v>-1.7814963081079094</c:v>
                </c:pt>
                <c:pt idx="5">
                  <c:v>-1.5716355596239235</c:v>
                </c:pt>
                <c:pt idx="6">
                  <c:v>-1.4174421472998684</c:v>
                </c:pt>
                <c:pt idx="7">
                  <c:v>-1.4710714197485117</c:v>
                </c:pt>
                <c:pt idx="8">
                  <c:v>-1.4</c:v>
                </c:pt>
                <c:pt idx="9">
                  <c:v>-1.5</c:v>
                </c:pt>
                <c:pt idx="10">
                  <c:v>-1.5</c:v>
                </c:pt>
                <c:pt idx="11" formatCode="General">
                  <c:v>-1.5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47944"/>
        <c:axId val="613348336"/>
      </c:barChart>
      <c:lineChart>
        <c:grouping val="standard"/>
        <c:varyColors val="0"/>
        <c:ser>
          <c:idx val="3"/>
          <c:order val="4"/>
          <c:tx>
            <c:strRef>
              <c:f>'Graf 16 + 17 '!$I$9</c:f>
              <c:strCache>
                <c:ptCount val="1"/>
                <c:pt idx="0">
                  <c:v>BÚ PB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16 + 17 '!$J$4:$U$4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16 + 17 '!$J$9:$U$9</c:f>
              <c:numCache>
                <c:formatCode>0.0</c:formatCode>
                <c:ptCount val="12"/>
                <c:pt idx="0">
                  <c:v>-3.4474074960460568</c:v>
                </c:pt>
                <c:pt idx="1">
                  <c:v>-4.7108839167890952</c:v>
                </c:pt>
                <c:pt idx="2">
                  <c:v>-4.9513363034336235</c:v>
                </c:pt>
                <c:pt idx="3">
                  <c:v>0.94038013929594322</c:v>
                </c:pt>
                <c:pt idx="4">
                  <c:v>1.829450620064732</c:v>
                </c:pt>
                <c:pt idx="5">
                  <c:v>1.1904173775555265</c:v>
                </c:pt>
                <c:pt idx="6">
                  <c:v>0.21292394608023243</c:v>
                </c:pt>
                <c:pt idx="7">
                  <c:v>-0.60461092148909301</c:v>
                </c:pt>
                <c:pt idx="8">
                  <c:v>1.7</c:v>
                </c:pt>
                <c:pt idx="9">
                  <c:v>2.4</c:v>
                </c:pt>
                <c:pt idx="10">
                  <c:v>3.2</c:v>
                </c:pt>
                <c:pt idx="11" formatCode="General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347944"/>
        <c:axId val="613348336"/>
      </c:lineChart>
      <c:catAx>
        <c:axId val="613347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613348336"/>
        <c:crosses val="autoZero"/>
        <c:auto val="1"/>
        <c:lblAlgn val="ctr"/>
        <c:lblOffset val="100"/>
        <c:noMultiLvlLbl val="0"/>
      </c:catAx>
      <c:valAx>
        <c:axId val="613348336"/>
        <c:scaling>
          <c:orientation val="minMax"/>
          <c:max val="8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613347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660898376296121E-2"/>
          <c:y val="1.1594789183462156E-2"/>
          <c:w val="0.9104445974671419"/>
          <c:h val="0.211646801030605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98591299275993E-2"/>
          <c:y val="5.9986353855937424E-2"/>
          <c:w val="0.8809365133706113"/>
          <c:h val="0.833955024404612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16 + 17 '!$I$15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16 + 17 '!$J$13:$P$13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  <c:pt idx="6">
                  <c:v>2020F</c:v>
                </c:pt>
              </c:strCache>
            </c:strRef>
          </c:cat>
          <c:val>
            <c:numRef>
              <c:f>'Graf 16 + 17 '!$J$15:$P$15</c:f>
              <c:numCache>
                <c:formatCode>0.0</c:formatCode>
                <c:ptCount val="7"/>
                <c:pt idx="0">
                  <c:v>0.26658832754590783</c:v>
                </c:pt>
                <c:pt idx="1">
                  <c:v>8.6094893216599952E-2</c:v>
                </c:pt>
                <c:pt idx="2">
                  <c:v>0.45892263481685747</c:v>
                </c:pt>
                <c:pt idx="3">
                  <c:v>1.1423262420594484</c:v>
                </c:pt>
                <c:pt idx="4">
                  <c:v>1.2786410817071783</c:v>
                </c:pt>
                <c:pt idx="5">
                  <c:v>1.5725036543301107</c:v>
                </c:pt>
                <c:pt idx="6">
                  <c:v>1.7468263439999665</c:v>
                </c:pt>
              </c:numCache>
            </c:numRef>
          </c:val>
        </c:ser>
        <c:ser>
          <c:idx val="2"/>
          <c:order val="2"/>
          <c:tx>
            <c:strRef>
              <c:f>'Graf 16 + 17 '!$I$16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strRef>
              <c:f>'Graf 16 + 17 '!$J$13:$P$13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  <c:pt idx="6">
                  <c:v>2020F</c:v>
                </c:pt>
              </c:strCache>
            </c:strRef>
          </c:cat>
          <c:val>
            <c:numRef>
              <c:f>'Graf 16 + 17 '!$J$16:$P$16</c:f>
              <c:numCache>
                <c:formatCode>0.0</c:formatCode>
                <c:ptCount val="7"/>
                <c:pt idx="0">
                  <c:v>-0.12349306005762417</c:v>
                </c:pt>
                <c:pt idx="1">
                  <c:v>-6.2469102124757807E-2</c:v>
                </c:pt>
                <c:pt idx="2">
                  <c:v>-0.32652382541412461</c:v>
                </c:pt>
                <c:pt idx="3">
                  <c:v>0.26046912998791155</c:v>
                </c:pt>
                <c:pt idx="4">
                  <c:v>0.16341635069565374</c:v>
                </c:pt>
                <c:pt idx="5">
                  <c:v>0.2831115672470248</c:v>
                </c:pt>
                <c:pt idx="6">
                  <c:v>0.34552307765107626</c:v>
                </c:pt>
              </c:numCache>
            </c:numRef>
          </c:val>
        </c:ser>
        <c:ser>
          <c:idx val="3"/>
          <c:order val="3"/>
          <c:tx>
            <c:strRef>
              <c:f>'Graf 16 + 17 '!$I$17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invertIfNegative val="0"/>
          <c:cat>
            <c:strRef>
              <c:f>'Graf 16 + 17 '!$J$13:$P$13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  <c:pt idx="6">
                  <c:v>2020F</c:v>
                </c:pt>
              </c:strCache>
            </c:strRef>
          </c:cat>
          <c:val>
            <c:numRef>
              <c:f>'Graf 16 + 17 '!$J$17:$P$17</c:f>
              <c:numCache>
                <c:formatCode>0.0</c:formatCode>
                <c:ptCount val="7"/>
                <c:pt idx="0">
                  <c:v>-0.21215113165132043</c:v>
                </c:pt>
                <c:pt idx="1">
                  <c:v>-0.35237593082336832</c:v>
                </c:pt>
                <c:pt idx="2">
                  <c:v>-0.65187535648952744</c:v>
                </c:pt>
                <c:pt idx="3">
                  <c:v>-0.22899100714636098</c:v>
                </c:pt>
                <c:pt idx="4">
                  <c:v>0.15636274906735162</c:v>
                </c:pt>
                <c:pt idx="5">
                  <c:v>3.8865247884077074E-2</c:v>
                </c:pt>
                <c:pt idx="6">
                  <c:v>3.8805073609469498E-2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613349120"/>
        <c:axId val="613349512"/>
      </c:barChart>
      <c:lineChart>
        <c:grouping val="standard"/>
        <c:varyColors val="0"/>
        <c:ser>
          <c:idx val="0"/>
          <c:order val="0"/>
          <c:tx>
            <c:strRef>
              <c:f>'Graf 16 + 17 '!$I$14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16 + 17 '!$J$13:$P$13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  <c:pt idx="6">
                  <c:v>2020F</c:v>
                </c:pt>
              </c:strCache>
            </c:strRef>
          </c:cat>
          <c:val>
            <c:numRef>
              <c:f>'Graf 16 + 17 '!$J$14:$P$14</c:f>
              <c:numCache>
                <c:formatCode>0.0</c:formatCode>
                <c:ptCount val="7"/>
                <c:pt idx="0">
                  <c:v>-0.10724115046615143</c:v>
                </c:pt>
                <c:pt idx="1">
                  <c:v>-0.30685544460117209</c:v>
                </c:pt>
                <c:pt idx="2">
                  <c:v>-0.51947654708679458</c:v>
                </c:pt>
                <c:pt idx="3">
                  <c:v>1.0950972835435557</c:v>
                </c:pt>
                <c:pt idx="4">
                  <c:v>1.6775191223474151</c:v>
                </c:pt>
                <c:pt idx="5">
                  <c:v>1.8944804694612127</c:v>
                </c:pt>
                <c:pt idx="6">
                  <c:v>2.1311544952605121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349120"/>
        <c:axId val="613349512"/>
      </c:lineChart>
      <c:catAx>
        <c:axId val="61334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3349512"/>
        <c:crosses val="autoZero"/>
        <c:auto val="1"/>
        <c:lblAlgn val="ctr"/>
        <c:lblOffset val="100"/>
        <c:noMultiLvlLbl val="0"/>
      </c:catAx>
      <c:valAx>
        <c:axId val="6133495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334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22925938605504"/>
          <c:y val="6.828594342373874E-2"/>
          <c:w val="0.38607757363662876"/>
          <c:h val="0.3814131617016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558438681403356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16 + 17 '!$I$21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16 + 17 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16 + 17 '!$J$5:$T$5</c:f>
              <c:numCache>
                <c:formatCode>0.0</c:formatCode>
                <c:ptCount val="11"/>
                <c:pt idx="0">
                  <c:v>0.36219355355178773</c:v>
                </c:pt>
                <c:pt idx="1">
                  <c:v>-0.11822474702912748</c:v>
                </c:pt>
                <c:pt idx="2">
                  <c:v>-5.0875063805645659E-2</c:v>
                </c:pt>
                <c:pt idx="3">
                  <c:v>3.4465751185170519</c:v>
                </c:pt>
                <c:pt idx="4">
                  <c:v>4.060749740408462</c:v>
                </c:pt>
                <c:pt idx="5">
                  <c:v>3.7639859620143388</c:v>
                </c:pt>
                <c:pt idx="6">
                  <c:v>2.687971001964812</c:v>
                </c:pt>
                <c:pt idx="7">
                  <c:v>3.0053213890917139</c:v>
                </c:pt>
                <c:pt idx="8">
                  <c:v>4.5999999999999996</c:v>
                </c:pt>
                <c:pt idx="9">
                  <c:v>5.8</c:v>
                </c:pt>
                <c:pt idx="10">
                  <c:v>7.1</c:v>
                </c:pt>
              </c:numCache>
            </c:numRef>
          </c:val>
        </c:ser>
        <c:ser>
          <c:idx val="8"/>
          <c:order val="1"/>
          <c:tx>
            <c:strRef>
              <c:f>'Graf 16 + 17 '!$I$22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16 + 17 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16 + 17 '!$J$6:$T$6</c:f>
              <c:numCache>
                <c:formatCode>0.0</c:formatCode>
                <c:ptCount val="11"/>
                <c:pt idx="0">
                  <c:v>-1.4104157451871724</c:v>
                </c:pt>
                <c:pt idx="1">
                  <c:v>-0.96383353809020145</c:v>
                </c:pt>
                <c:pt idx="2">
                  <c:v>-0.38170241746350625</c:v>
                </c:pt>
                <c:pt idx="3">
                  <c:v>0.57961021975686111</c:v>
                </c:pt>
                <c:pt idx="4">
                  <c:v>0.48194512381575949</c:v>
                </c:pt>
                <c:pt idx="5">
                  <c:v>0.14282448823090552</c:v>
                </c:pt>
                <c:pt idx="6">
                  <c:v>0.12061347340407873</c:v>
                </c:pt>
                <c:pt idx="7">
                  <c:v>0.41169495293856101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</c:ser>
        <c:ser>
          <c:idx val="0"/>
          <c:order val="2"/>
          <c:tx>
            <c:strRef>
              <c:f>'Graf 16 + 17 '!$I$23</c:f>
              <c:strCache>
                <c:ptCount val="1"/>
                <c:pt idx="0">
                  <c:v>Primary income</c:v>
                </c:pt>
              </c:strCache>
            </c:strRef>
          </c:tx>
          <c:invertIfNegative val="0"/>
          <c:cat>
            <c:strRef>
              <c:f>'Graf 16 + 17 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16 + 17 '!$J$7:$T$7</c:f>
              <c:numCache>
                <c:formatCode>0.0</c:formatCode>
                <c:ptCount val="11"/>
                <c:pt idx="0">
                  <c:v>-0.87642723753404461</c:v>
                </c:pt>
                <c:pt idx="1">
                  <c:v>-2.7911181710716817</c:v>
                </c:pt>
                <c:pt idx="2">
                  <c:v>-3.4059275992745635</c:v>
                </c:pt>
                <c:pt idx="3">
                  <c:v>-1.6640231845630495</c:v>
                </c:pt>
                <c:pt idx="4">
                  <c:v>-0.93174793605157802</c:v>
                </c:pt>
                <c:pt idx="5">
                  <c:v>-1.1447575130658008</c:v>
                </c:pt>
                <c:pt idx="6">
                  <c:v>-1.1782183819887768</c:v>
                </c:pt>
                <c:pt idx="7">
                  <c:v>-2.5505558437708449</c:v>
                </c:pt>
                <c:pt idx="8">
                  <c:v>-2</c:v>
                </c:pt>
                <c:pt idx="9">
                  <c:v>-2.5</c:v>
                </c:pt>
                <c:pt idx="10">
                  <c:v>-2.9</c:v>
                </c:pt>
              </c:numCache>
            </c:numRef>
          </c:val>
        </c:ser>
        <c:ser>
          <c:idx val="1"/>
          <c:order val="3"/>
          <c:tx>
            <c:strRef>
              <c:f>'Graf 16 + 17 '!$I$24</c:f>
              <c:strCache>
                <c:ptCount val="1"/>
                <c:pt idx="0">
                  <c:v>Secondary income</c:v>
                </c:pt>
              </c:strCache>
            </c:strRef>
          </c:tx>
          <c:invertIfNegative val="0"/>
          <c:cat>
            <c:strRef>
              <c:f>'Graf 16 + 17 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16 + 17 '!$J$8:$T$8</c:f>
              <c:numCache>
                <c:formatCode>0.0</c:formatCode>
                <c:ptCount val="11"/>
                <c:pt idx="0">
                  <c:v>-1.5227580668766247</c:v>
                </c:pt>
                <c:pt idx="1">
                  <c:v>-0.83770746059807966</c:v>
                </c:pt>
                <c:pt idx="2">
                  <c:v>-1.1128312228899209</c:v>
                </c:pt>
                <c:pt idx="3">
                  <c:v>-1.4217820144149362</c:v>
                </c:pt>
                <c:pt idx="4">
                  <c:v>-1.7814963081079094</c:v>
                </c:pt>
                <c:pt idx="5">
                  <c:v>-1.5716355596239235</c:v>
                </c:pt>
                <c:pt idx="6">
                  <c:v>-1.4174421472998684</c:v>
                </c:pt>
                <c:pt idx="7">
                  <c:v>-1.4710714197485117</c:v>
                </c:pt>
                <c:pt idx="8">
                  <c:v>-1.4</c:v>
                </c:pt>
                <c:pt idx="9">
                  <c:v>-1.5</c:v>
                </c:pt>
                <c:pt idx="10">
                  <c:v>-1.5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350296"/>
        <c:axId val="432757152"/>
      </c:barChart>
      <c:lineChart>
        <c:grouping val="standard"/>
        <c:varyColors val="0"/>
        <c:ser>
          <c:idx val="3"/>
          <c:order val="4"/>
          <c:tx>
            <c:strRef>
              <c:f>'Graf 16 + 17 '!$I$25</c:f>
              <c:strCache>
                <c:ptCount val="1"/>
                <c:pt idx="0">
                  <c:v>CAB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16 + 17 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16 + 17 '!$J$9:$T$9</c:f>
              <c:numCache>
                <c:formatCode>0.0</c:formatCode>
                <c:ptCount val="11"/>
                <c:pt idx="0">
                  <c:v>-3.4474074960460568</c:v>
                </c:pt>
                <c:pt idx="1">
                  <c:v>-4.7108839167890952</c:v>
                </c:pt>
                <c:pt idx="2">
                  <c:v>-4.9513363034336235</c:v>
                </c:pt>
                <c:pt idx="3">
                  <c:v>0.94038013929594322</c:v>
                </c:pt>
                <c:pt idx="4">
                  <c:v>1.829450620064732</c:v>
                </c:pt>
                <c:pt idx="5">
                  <c:v>1.1904173775555265</c:v>
                </c:pt>
                <c:pt idx="6">
                  <c:v>0.21292394608023243</c:v>
                </c:pt>
                <c:pt idx="7">
                  <c:v>-0.60461092148909301</c:v>
                </c:pt>
                <c:pt idx="8">
                  <c:v>1.7</c:v>
                </c:pt>
                <c:pt idx="9">
                  <c:v>2.4</c:v>
                </c:pt>
                <c:pt idx="10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350296"/>
        <c:axId val="432757152"/>
      </c:lineChart>
      <c:catAx>
        <c:axId val="613350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432757152"/>
        <c:crosses val="autoZero"/>
        <c:auto val="1"/>
        <c:lblAlgn val="ctr"/>
        <c:lblOffset val="100"/>
        <c:noMultiLvlLbl val="0"/>
      </c:catAx>
      <c:valAx>
        <c:axId val="432757152"/>
        <c:scaling>
          <c:orientation val="minMax"/>
          <c:max val="8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613350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660898376296121E-2"/>
          <c:y val="1.1594789183462156E-2"/>
          <c:w val="0.9104445974671419"/>
          <c:h val="0.211646801030605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98591299275993E-2"/>
          <c:y val="5.9986353855937424E-2"/>
          <c:w val="0.8809365133706113"/>
          <c:h val="0.833955024404612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16 + 17 '!$I$31</c:f>
              <c:strCache>
                <c:ptCount val="1"/>
                <c:pt idx="0">
                  <c:v>Net inflation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16 + 17 '!$J$13:$P$13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  <c:pt idx="6">
                  <c:v>2020F</c:v>
                </c:pt>
              </c:strCache>
            </c:strRef>
          </c:cat>
          <c:val>
            <c:numRef>
              <c:f>'Graf 16 + 17 '!$J$31:$P$31</c:f>
              <c:numCache>
                <c:formatCode>0.0</c:formatCode>
                <c:ptCount val="7"/>
                <c:pt idx="0">
                  <c:v>0.26658832754590783</c:v>
                </c:pt>
                <c:pt idx="1">
                  <c:v>8.6094893216599952E-2</c:v>
                </c:pt>
                <c:pt idx="2">
                  <c:v>0.45892263481685747</c:v>
                </c:pt>
                <c:pt idx="3">
                  <c:v>1.1423262420594484</c:v>
                </c:pt>
                <c:pt idx="4">
                  <c:v>1.2786410817071783</c:v>
                </c:pt>
                <c:pt idx="5">
                  <c:v>1.5725036543301107</c:v>
                </c:pt>
                <c:pt idx="6">
                  <c:v>1.7468263439999665</c:v>
                </c:pt>
              </c:numCache>
            </c:numRef>
          </c:val>
        </c:ser>
        <c:ser>
          <c:idx val="2"/>
          <c:order val="2"/>
          <c:tx>
            <c:strRef>
              <c:f>'Graf 16 + 17 '!$I$32</c:f>
              <c:strCache>
                <c:ptCount val="1"/>
                <c:pt idx="0">
                  <c:v>Food prices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strRef>
              <c:f>'Graf 16 + 17 '!$J$13:$P$13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  <c:pt idx="6">
                  <c:v>2020F</c:v>
                </c:pt>
              </c:strCache>
            </c:strRef>
          </c:cat>
          <c:val>
            <c:numRef>
              <c:f>'Graf 16 + 17 '!$J$32:$P$32</c:f>
              <c:numCache>
                <c:formatCode>0.0</c:formatCode>
                <c:ptCount val="7"/>
                <c:pt idx="0">
                  <c:v>-0.12349306005762417</c:v>
                </c:pt>
                <c:pt idx="1">
                  <c:v>-6.2469102124757807E-2</c:v>
                </c:pt>
                <c:pt idx="2">
                  <c:v>-0.32652382541412461</c:v>
                </c:pt>
                <c:pt idx="3">
                  <c:v>0.26046912998791155</c:v>
                </c:pt>
                <c:pt idx="4">
                  <c:v>0.16341635069565374</c:v>
                </c:pt>
                <c:pt idx="5">
                  <c:v>0.2831115672470248</c:v>
                </c:pt>
                <c:pt idx="6">
                  <c:v>0.34552307765107626</c:v>
                </c:pt>
              </c:numCache>
            </c:numRef>
          </c:val>
        </c:ser>
        <c:ser>
          <c:idx val="3"/>
          <c:order val="3"/>
          <c:tx>
            <c:strRef>
              <c:f>'Graf 16 + 17 '!$I$33</c:f>
              <c:strCache>
                <c:ptCount val="1"/>
                <c:pt idx="0">
                  <c:v>Regulated prices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invertIfNegative val="0"/>
          <c:cat>
            <c:strRef>
              <c:f>'Graf 16 + 17 '!$J$13:$P$13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  <c:pt idx="6">
                  <c:v>2020F</c:v>
                </c:pt>
              </c:strCache>
            </c:strRef>
          </c:cat>
          <c:val>
            <c:numRef>
              <c:f>'Graf 16 + 17 '!$J$33:$P$33</c:f>
              <c:numCache>
                <c:formatCode>0.0</c:formatCode>
                <c:ptCount val="7"/>
                <c:pt idx="0">
                  <c:v>-0.21215113165132043</c:v>
                </c:pt>
                <c:pt idx="1">
                  <c:v>-0.35237593082336832</c:v>
                </c:pt>
                <c:pt idx="2">
                  <c:v>-0.65187535648952744</c:v>
                </c:pt>
                <c:pt idx="3">
                  <c:v>-0.22899100714636098</c:v>
                </c:pt>
                <c:pt idx="4">
                  <c:v>0.15636274906735162</c:v>
                </c:pt>
                <c:pt idx="5">
                  <c:v>3.8865247884077074E-2</c:v>
                </c:pt>
                <c:pt idx="6">
                  <c:v>3.8805073609469498E-2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432757936"/>
        <c:axId val="432758328"/>
      </c:barChart>
      <c:lineChart>
        <c:grouping val="standard"/>
        <c:varyColors val="0"/>
        <c:ser>
          <c:idx val="0"/>
          <c:order val="0"/>
          <c:tx>
            <c:strRef>
              <c:f>'Graf 16 + 17 '!$I$30</c:f>
              <c:strCache>
                <c:ptCount val="1"/>
                <c:pt idx="0">
                  <c:v>Total inflation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16 + 17 '!$J$13:$P$13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  <c:pt idx="6">
                  <c:v>2020F</c:v>
                </c:pt>
              </c:strCache>
            </c:strRef>
          </c:cat>
          <c:val>
            <c:numRef>
              <c:f>'Graf 16 + 17 '!$J$30:$P$30</c:f>
              <c:numCache>
                <c:formatCode>0.0</c:formatCode>
                <c:ptCount val="7"/>
                <c:pt idx="0">
                  <c:v>-0.10724115046615143</c:v>
                </c:pt>
                <c:pt idx="1">
                  <c:v>-0.30685544460117209</c:v>
                </c:pt>
                <c:pt idx="2">
                  <c:v>-0.51947654708679458</c:v>
                </c:pt>
                <c:pt idx="3">
                  <c:v>1.0950972835435557</c:v>
                </c:pt>
                <c:pt idx="4">
                  <c:v>1.6775191223474151</c:v>
                </c:pt>
                <c:pt idx="5">
                  <c:v>1.8944804694612127</c:v>
                </c:pt>
                <c:pt idx="6">
                  <c:v>2.1311544952605121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57936"/>
        <c:axId val="432758328"/>
      </c:lineChart>
      <c:catAx>
        <c:axId val="43275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32758328"/>
        <c:crosses val="autoZero"/>
        <c:auto val="1"/>
        <c:lblAlgn val="ctr"/>
        <c:lblOffset val="100"/>
        <c:noMultiLvlLbl val="0"/>
      </c:catAx>
      <c:valAx>
        <c:axId val="4327583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327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22925938605504"/>
          <c:y val="6.828594342373874E-2"/>
          <c:w val="0.38607757363662876"/>
          <c:h val="0.3814131617016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18 + Tab 6'!$K$7</c:f>
              <c:strCache>
                <c:ptCount val="1"/>
                <c:pt idx="0">
                  <c:v>zamestnanosť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18 + Tab 6'!$L$6:$W$6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18 + Tab 6'!$L$7:$W$7</c:f>
              <c:numCache>
                <c:formatCode>0.0</c:formatCode>
                <c:ptCount val="12"/>
                <c:pt idx="0">
                  <c:v>0.69422300000000003</c:v>
                </c:pt>
                <c:pt idx="1">
                  <c:v>0.62936800000000004</c:v>
                </c:pt>
                <c:pt idx="2">
                  <c:v>0.63905599999999996</c:v>
                </c:pt>
                <c:pt idx="3">
                  <c:v>0.44289299999999998</c:v>
                </c:pt>
                <c:pt idx="4">
                  <c:v>0.27062999999999998</c:v>
                </c:pt>
                <c:pt idx="5">
                  <c:v>0.23719899999999999</c:v>
                </c:pt>
                <c:pt idx="6">
                  <c:v>0.33785500000000002</c:v>
                </c:pt>
                <c:pt idx="7">
                  <c:v>0.58932300000000004</c:v>
                </c:pt>
                <c:pt idx="8">
                  <c:v>0.63254500000000002</c:v>
                </c:pt>
                <c:pt idx="9">
                  <c:v>0.75306399999999996</c:v>
                </c:pt>
                <c:pt idx="10">
                  <c:v>0.40258699999999997</c:v>
                </c:pt>
                <c:pt idx="11">
                  <c:v>0.151615</c:v>
                </c:pt>
              </c:numCache>
            </c:numRef>
          </c:val>
        </c:ser>
        <c:ser>
          <c:idx val="2"/>
          <c:order val="1"/>
          <c:tx>
            <c:strRef>
              <c:f>'Graf 18 + Tab 6'!$K$8</c:f>
              <c:strCache>
                <c:ptCount val="1"/>
                <c:pt idx="0">
                  <c:v>zásoba kapitálu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18 + Tab 6'!$L$6:$W$6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18 + Tab 6'!$L$8:$W$8</c:f>
              <c:numCache>
                <c:formatCode>0.0</c:formatCode>
                <c:ptCount val="12"/>
                <c:pt idx="0">
                  <c:v>0.31681300000000001</c:v>
                </c:pt>
                <c:pt idx="1">
                  <c:v>0.46024100000000001</c:v>
                </c:pt>
                <c:pt idx="2">
                  <c:v>0.82340199999999997</c:v>
                </c:pt>
                <c:pt idx="3">
                  <c:v>0.22630600000000001</c:v>
                </c:pt>
                <c:pt idx="4">
                  <c:v>1.6768999999999999E-2</c:v>
                </c:pt>
                <c:pt idx="5">
                  <c:v>-0.11285199999999999</c:v>
                </c:pt>
                <c:pt idx="6">
                  <c:v>0.56066400000000005</c:v>
                </c:pt>
                <c:pt idx="7">
                  <c:v>0.12138500000000001</c:v>
                </c:pt>
                <c:pt idx="8">
                  <c:v>0.24384</c:v>
                </c:pt>
                <c:pt idx="9">
                  <c:v>0.30064800000000003</c:v>
                </c:pt>
                <c:pt idx="10">
                  <c:v>0.35507</c:v>
                </c:pt>
                <c:pt idx="11">
                  <c:v>0.47959400000000002</c:v>
                </c:pt>
              </c:numCache>
            </c:numRef>
          </c:val>
        </c:ser>
        <c:ser>
          <c:idx val="3"/>
          <c:order val="2"/>
          <c:tx>
            <c:strRef>
              <c:f>'Graf 18 + Tab 6'!$K$9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18 + Tab 6'!$L$6:$W$6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18 + Tab 6'!$L$9:$W$9</c:f>
              <c:numCache>
                <c:formatCode>0.0</c:formatCode>
                <c:ptCount val="12"/>
                <c:pt idx="0">
                  <c:v>2.4313060000000002</c:v>
                </c:pt>
                <c:pt idx="1">
                  <c:v>2.2632289999999999</c:v>
                </c:pt>
                <c:pt idx="2">
                  <c:v>1.9569540000000001</c:v>
                </c:pt>
                <c:pt idx="3">
                  <c:v>1.871426</c:v>
                </c:pt>
                <c:pt idx="4">
                  <c:v>1.8646609999999999</c:v>
                </c:pt>
                <c:pt idx="5">
                  <c:v>1.8597220000000001</c:v>
                </c:pt>
                <c:pt idx="6">
                  <c:v>1.966882</c:v>
                </c:pt>
                <c:pt idx="7">
                  <c:v>2.1179480000000002</c:v>
                </c:pt>
                <c:pt idx="8">
                  <c:v>2.3432360000000001</c:v>
                </c:pt>
                <c:pt idx="9">
                  <c:v>2.5684300000000002</c:v>
                </c:pt>
                <c:pt idx="10">
                  <c:v>2.7376019999999999</c:v>
                </c:pt>
                <c:pt idx="11">
                  <c:v>2.8245119999999999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759112"/>
        <c:axId val="432759504"/>
      </c:barChart>
      <c:lineChart>
        <c:grouping val="standard"/>
        <c:varyColors val="0"/>
        <c:ser>
          <c:idx val="0"/>
          <c:order val="3"/>
          <c:tx>
            <c:strRef>
              <c:f>'Graf 18 + Tab 6'!$K$10</c:f>
              <c:strCache>
                <c:ptCount val="1"/>
                <c:pt idx="0">
                  <c:v>pot. produkt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18 + Tab 6'!$L$6:$W$6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18 + Tab 6'!$L$10:$W$10</c:f>
              <c:numCache>
                <c:formatCode>0.0</c:formatCode>
                <c:ptCount val="12"/>
                <c:pt idx="0">
                  <c:v>3.4668920000000001</c:v>
                </c:pt>
                <c:pt idx="1">
                  <c:v>3.3773610000000001</c:v>
                </c:pt>
                <c:pt idx="2">
                  <c:v>3.4458950000000002</c:v>
                </c:pt>
                <c:pt idx="3">
                  <c:v>2.5531470000000001</c:v>
                </c:pt>
                <c:pt idx="4">
                  <c:v>2.1572619999999998</c:v>
                </c:pt>
                <c:pt idx="5">
                  <c:v>1.985833</c:v>
                </c:pt>
                <c:pt idx="6">
                  <c:v>2.8817300000000001</c:v>
                </c:pt>
                <c:pt idx="7">
                  <c:v>2.8433459999999999</c:v>
                </c:pt>
                <c:pt idx="8">
                  <c:v>3.2400679999999999</c:v>
                </c:pt>
                <c:pt idx="9">
                  <c:v>3.6491020000000001</c:v>
                </c:pt>
                <c:pt idx="10">
                  <c:v>3.5158200000000002</c:v>
                </c:pt>
                <c:pt idx="11">
                  <c:v>3.4720499999999999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59112"/>
        <c:axId val="432759504"/>
      </c:lineChart>
      <c:catAx>
        <c:axId val="43275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432759504"/>
        <c:crosses val="autoZero"/>
        <c:auto val="1"/>
        <c:lblAlgn val="ctr"/>
        <c:lblOffset val="100"/>
        <c:noMultiLvlLbl val="0"/>
      </c:catAx>
      <c:valAx>
        <c:axId val="43275950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432759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658023340526087"/>
          <c:y val="4.9670202041224489E-3"/>
          <c:w val="0.70160592907200547"/>
          <c:h val="0.15864566084972845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18 + Tab 6'!$K$13</c:f>
              <c:strCache>
                <c:ptCount val="1"/>
                <c:pt idx="0">
                  <c:v>employment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18 + Tab 6'!$L$6:$W$6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18 + Tab 6'!$L$7:$W$7</c:f>
              <c:numCache>
                <c:formatCode>0.0</c:formatCode>
                <c:ptCount val="12"/>
                <c:pt idx="0">
                  <c:v>0.69422300000000003</c:v>
                </c:pt>
                <c:pt idx="1">
                  <c:v>0.62936800000000004</c:v>
                </c:pt>
                <c:pt idx="2">
                  <c:v>0.63905599999999996</c:v>
                </c:pt>
                <c:pt idx="3">
                  <c:v>0.44289299999999998</c:v>
                </c:pt>
                <c:pt idx="4">
                  <c:v>0.27062999999999998</c:v>
                </c:pt>
                <c:pt idx="5">
                  <c:v>0.23719899999999999</c:v>
                </c:pt>
                <c:pt idx="6">
                  <c:v>0.33785500000000002</c:v>
                </c:pt>
                <c:pt idx="7">
                  <c:v>0.58932300000000004</c:v>
                </c:pt>
                <c:pt idx="8">
                  <c:v>0.63254500000000002</c:v>
                </c:pt>
                <c:pt idx="9">
                  <c:v>0.75306399999999996</c:v>
                </c:pt>
                <c:pt idx="10">
                  <c:v>0.40258699999999997</c:v>
                </c:pt>
                <c:pt idx="11">
                  <c:v>0.151615</c:v>
                </c:pt>
              </c:numCache>
            </c:numRef>
          </c:val>
        </c:ser>
        <c:ser>
          <c:idx val="2"/>
          <c:order val="1"/>
          <c:tx>
            <c:strRef>
              <c:f>'Graf 18 + Tab 6'!$K$14</c:f>
              <c:strCache>
                <c:ptCount val="1"/>
                <c:pt idx="0">
                  <c:v>capital stock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18 + Tab 6'!$L$6:$W$6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18 + Tab 6'!$L$8:$W$8</c:f>
              <c:numCache>
                <c:formatCode>0.0</c:formatCode>
                <c:ptCount val="12"/>
                <c:pt idx="0">
                  <c:v>0.31681300000000001</c:v>
                </c:pt>
                <c:pt idx="1">
                  <c:v>0.46024100000000001</c:v>
                </c:pt>
                <c:pt idx="2">
                  <c:v>0.82340199999999997</c:v>
                </c:pt>
                <c:pt idx="3">
                  <c:v>0.22630600000000001</c:v>
                </c:pt>
                <c:pt idx="4">
                  <c:v>1.6768999999999999E-2</c:v>
                </c:pt>
                <c:pt idx="5">
                  <c:v>-0.11285199999999999</c:v>
                </c:pt>
                <c:pt idx="6">
                  <c:v>0.56066400000000005</c:v>
                </c:pt>
                <c:pt idx="7">
                  <c:v>0.12138500000000001</c:v>
                </c:pt>
                <c:pt idx="8">
                  <c:v>0.24384</c:v>
                </c:pt>
                <c:pt idx="9">
                  <c:v>0.30064800000000003</c:v>
                </c:pt>
                <c:pt idx="10">
                  <c:v>0.35507</c:v>
                </c:pt>
                <c:pt idx="11">
                  <c:v>0.47959400000000002</c:v>
                </c:pt>
              </c:numCache>
            </c:numRef>
          </c:val>
        </c:ser>
        <c:ser>
          <c:idx val="3"/>
          <c:order val="2"/>
          <c:tx>
            <c:strRef>
              <c:f>'Graf 18 + Tab 6'!$K$15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18 + Tab 6'!$L$6:$W$6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18 + Tab 6'!$L$9:$W$9</c:f>
              <c:numCache>
                <c:formatCode>0.0</c:formatCode>
                <c:ptCount val="12"/>
                <c:pt idx="0">
                  <c:v>2.4313060000000002</c:v>
                </c:pt>
                <c:pt idx="1">
                  <c:v>2.2632289999999999</c:v>
                </c:pt>
                <c:pt idx="2">
                  <c:v>1.9569540000000001</c:v>
                </c:pt>
                <c:pt idx="3">
                  <c:v>1.871426</c:v>
                </c:pt>
                <c:pt idx="4">
                  <c:v>1.8646609999999999</c:v>
                </c:pt>
                <c:pt idx="5">
                  <c:v>1.8597220000000001</c:v>
                </c:pt>
                <c:pt idx="6">
                  <c:v>1.966882</c:v>
                </c:pt>
                <c:pt idx="7">
                  <c:v>2.1179480000000002</c:v>
                </c:pt>
                <c:pt idx="8">
                  <c:v>2.3432360000000001</c:v>
                </c:pt>
                <c:pt idx="9">
                  <c:v>2.5684300000000002</c:v>
                </c:pt>
                <c:pt idx="10">
                  <c:v>2.7376019999999999</c:v>
                </c:pt>
                <c:pt idx="11">
                  <c:v>2.8245119999999999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760288"/>
        <c:axId val="432760680"/>
      </c:barChart>
      <c:lineChart>
        <c:grouping val="standard"/>
        <c:varyColors val="0"/>
        <c:ser>
          <c:idx val="0"/>
          <c:order val="3"/>
          <c:tx>
            <c:strRef>
              <c:f>'Graf 18 + Tab 6'!$K$16</c:f>
              <c:strCache>
                <c:ptCount val="1"/>
                <c:pt idx="0">
                  <c:v>pot. output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18 + Tab 6'!$L$6:$W$6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18 + Tab 6'!$L$10:$W$10</c:f>
              <c:numCache>
                <c:formatCode>0.0</c:formatCode>
                <c:ptCount val="12"/>
                <c:pt idx="0">
                  <c:v>3.4668920000000001</c:v>
                </c:pt>
                <c:pt idx="1">
                  <c:v>3.3773610000000001</c:v>
                </c:pt>
                <c:pt idx="2">
                  <c:v>3.4458950000000002</c:v>
                </c:pt>
                <c:pt idx="3">
                  <c:v>2.5531470000000001</c:v>
                </c:pt>
                <c:pt idx="4">
                  <c:v>2.1572619999999998</c:v>
                </c:pt>
                <c:pt idx="5">
                  <c:v>1.985833</c:v>
                </c:pt>
                <c:pt idx="6">
                  <c:v>2.8817300000000001</c:v>
                </c:pt>
                <c:pt idx="7">
                  <c:v>2.8433459999999999</c:v>
                </c:pt>
                <c:pt idx="8">
                  <c:v>3.2400679999999999</c:v>
                </c:pt>
                <c:pt idx="9">
                  <c:v>3.6491020000000001</c:v>
                </c:pt>
                <c:pt idx="10">
                  <c:v>3.5158200000000002</c:v>
                </c:pt>
                <c:pt idx="11">
                  <c:v>3.4720499999999999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60288"/>
        <c:axId val="432760680"/>
      </c:lineChart>
      <c:catAx>
        <c:axId val="4327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432760680"/>
        <c:crosses val="autoZero"/>
        <c:auto val="1"/>
        <c:lblAlgn val="ctr"/>
        <c:lblOffset val="100"/>
        <c:noMultiLvlLbl val="0"/>
      </c:catAx>
      <c:valAx>
        <c:axId val="43276068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43276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483381906760603"/>
          <c:y val="4.9670581359157794E-3"/>
          <c:w val="0.74467622517334575"/>
          <c:h val="0.139861675057556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19 + Tab 7'!$J$6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19 + Tab 7'!$K$5:$AA$5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2017F</c:v>
                </c:pt>
                <c:pt idx="14">
                  <c:v>2018F</c:v>
                </c:pt>
                <c:pt idx="15">
                  <c:v>2019F</c:v>
                </c:pt>
                <c:pt idx="16">
                  <c:v>2020F</c:v>
                </c:pt>
              </c:strCache>
            </c:strRef>
          </c:cat>
          <c:val>
            <c:numRef>
              <c:f>'Graf 19 + Tab 7'!$K$6:$AA$6</c:f>
              <c:numCache>
                <c:formatCode>0.0</c:formatCode>
                <c:ptCount val="17"/>
                <c:pt idx="0">
                  <c:v>-1.246947</c:v>
                </c:pt>
                <c:pt idx="1">
                  <c:v>1.1279000000000001E-2</c:v>
                </c:pt>
                <c:pt idx="2">
                  <c:v>2.4672260000000001</c:v>
                </c:pt>
                <c:pt idx="3">
                  <c:v>7.0379259999999997</c:v>
                </c:pt>
                <c:pt idx="4">
                  <c:v>7.201886</c:v>
                </c:pt>
                <c:pt idx="5">
                  <c:v>-2.0084330000000001</c:v>
                </c:pt>
                <c:pt idx="6">
                  <c:v>-0.43078899999999998</c:v>
                </c:pt>
                <c:pt idx="7">
                  <c:v>-1.0340959999999999</c:v>
                </c:pt>
                <c:pt idx="8">
                  <c:v>-1.8987639999999999</c:v>
                </c:pt>
                <c:pt idx="9">
                  <c:v>-2.5389020000000002</c:v>
                </c:pt>
                <c:pt idx="10">
                  <c:v>-1.9798359999999999</c:v>
                </c:pt>
                <c:pt idx="11">
                  <c:v>-1.0753410000000001</c:v>
                </c:pt>
                <c:pt idx="12">
                  <c:v>-0.63608799999999999</c:v>
                </c:pt>
                <c:pt idx="13">
                  <c:v>-0.57840599999999998</c:v>
                </c:pt>
                <c:pt idx="14">
                  <c:v>-0.24182000000000001</c:v>
                </c:pt>
                <c:pt idx="15">
                  <c:v>0.61026499999999995</c:v>
                </c:pt>
                <c:pt idx="16">
                  <c:v>0.92914399999999997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199696"/>
        <c:axId val="610200088"/>
      </c:lineChart>
      <c:catAx>
        <c:axId val="61019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610200088"/>
        <c:crosses val="autoZero"/>
        <c:auto val="1"/>
        <c:lblAlgn val="ctr"/>
        <c:lblOffset val="100"/>
        <c:noMultiLvlLbl val="0"/>
      </c:catAx>
      <c:valAx>
        <c:axId val="61020008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610199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19 + Tab 7'!$J$6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19 + Tab 7'!$K$5:$AA$5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2017F</c:v>
                </c:pt>
                <c:pt idx="14">
                  <c:v>2018F</c:v>
                </c:pt>
                <c:pt idx="15">
                  <c:v>2019F</c:v>
                </c:pt>
                <c:pt idx="16">
                  <c:v>2020F</c:v>
                </c:pt>
              </c:strCache>
            </c:strRef>
          </c:cat>
          <c:val>
            <c:numRef>
              <c:f>'Graf 19 + Tab 7'!$K$6:$AA$6</c:f>
              <c:numCache>
                <c:formatCode>0.0</c:formatCode>
                <c:ptCount val="17"/>
                <c:pt idx="0">
                  <c:v>-1.246947</c:v>
                </c:pt>
                <c:pt idx="1">
                  <c:v>1.1279000000000001E-2</c:v>
                </c:pt>
                <c:pt idx="2">
                  <c:v>2.4672260000000001</c:v>
                </c:pt>
                <c:pt idx="3">
                  <c:v>7.0379259999999997</c:v>
                </c:pt>
                <c:pt idx="4">
                  <c:v>7.201886</c:v>
                </c:pt>
                <c:pt idx="5">
                  <c:v>-2.0084330000000001</c:v>
                </c:pt>
                <c:pt idx="6">
                  <c:v>-0.43078899999999998</c:v>
                </c:pt>
                <c:pt idx="7">
                  <c:v>-1.0340959999999999</c:v>
                </c:pt>
                <c:pt idx="8">
                  <c:v>-1.8987639999999999</c:v>
                </c:pt>
                <c:pt idx="9">
                  <c:v>-2.5389020000000002</c:v>
                </c:pt>
                <c:pt idx="10">
                  <c:v>-1.9798359999999999</c:v>
                </c:pt>
                <c:pt idx="11">
                  <c:v>-1.0753410000000001</c:v>
                </c:pt>
                <c:pt idx="12">
                  <c:v>-0.63608799999999999</c:v>
                </c:pt>
                <c:pt idx="13">
                  <c:v>-0.57840599999999998</c:v>
                </c:pt>
                <c:pt idx="14">
                  <c:v>-0.24182000000000001</c:v>
                </c:pt>
                <c:pt idx="15">
                  <c:v>0.61026499999999995</c:v>
                </c:pt>
                <c:pt idx="16">
                  <c:v>0.92914399999999997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00872"/>
        <c:axId val="610201264"/>
      </c:lineChart>
      <c:catAx>
        <c:axId val="61020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610201264"/>
        <c:crosses val="autoZero"/>
        <c:auto val="1"/>
        <c:lblAlgn val="ctr"/>
        <c:lblOffset val="100"/>
        <c:noMultiLvlLbl val="0"/>
      </c:catAx>
      <c:valAx>
        <c:axId val="61020126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610200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81539126675313"/>
          <c:y val="0.27367254328716689"/>
          <c:w val="0.8408531488687131"/>
          <c:h val="0.60866944255775723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'Graf 1 + 2'!$J$46</c:f>
              <c:strCache>
                <c:ptCount val="1"/>
                <c:pt idx="0">
                  <c:v>Gross debt (excl. ESM and EFSF)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1 + 2'!$K$44:$P$44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+ 2'!$K$22:$P$22</c:f>
              <c:numCache>
                <c:formatCode>0.0</c:formatCode>
                <c:ptCount val="6"/>
                <c:pt idx="0">
                  <c:v>49.253149452010376</c:v>
                </c:pt>
                <c:pt idx="1">
                  <c:v>48.80728421301373</c:v>
                </c:pt>
                <c:pt idx="2">
                  <c:v>48.750704605901639</c:v>
                </c:pt>
                <c:pt idx="3">
                  <c:v>47.09437939669445</c:v>
                </c:pt>
                <c:pt idx="4">
                  <c:v>45.321849152305461</c:v>
                </c:pt>
                <c:pt idx="5">
                  <c:v>43.456875600375923</c:v>
                </c:pt>
              </c:numCache>
            </c:numRef>
          </c:val>
        </c:ser>
        <c:ser>
          <c:idx val="3"/>
          <c:order val="4"/>
          <c:tx>
            <c:strRef>
              <c:f>'Graf 1 + 2'!$J$47</c:f>
              <c:strCache>
                <c:ptCount val="1"/>
                <c:pt idx="0">
                  <c:v>EFSF and  ESM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'Graf 1 + 2'!$K$44:$P$44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+ 2'!$K$23:$P$23</c:f>
              <c:numCache>
                <c:formatCode>0.0</c:formatCode>
                <c:ptCount val="6"/>
                <c:pt idx="0">
                  <c:v>3.2278328389315822</c:v>
                </c:pt>
                <c:pt idx="1">
                  <c:v>3.1372313657053303</c:v>
                </c:pt>
                <c:pt idx="2">
                  <c:v>3.0028722074111593</c:v>
                </c:pt>
                <c:pt idx="3">
                  <c:v>2.8425422165598846</c:v>
                </c:pt>
                <c:pt idx="4">
                  <c:v>2.671460924688887</c:v>
                </c:pt>
                <c:pt idx="5">
                  <c:v>2.5214375153051916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3979120"/>
        <c:axId val="539329200"/>
        <c:extLst>
          <c:ext xmlns:c15="http://schemas.microsoft.com/office/drawing/2012/chart" uri="{02D57815-91ED-43cb-92C2-25804820EDAC}">
            <c15:filteredBarSeries>
              <c15:ser>
                <c:idx val="1"/>
                <c:order val="2"/>
                <c:tx>
                  <c:v>#ODKAZ!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 1 + 2'!$K$44:$P$44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48.429664545439529</c:v>
                    </c:pt>
                    <c:pt idx="1">
                      <c:v>47.786688287494883</c:v>
                    </c:pt>
                    <c:pt idx="2">
                      <c:v>48.018210304633044</c:v>
                    </c:pt>
                    <c:pt idx="3">
                      <c:v>47.699076618538051</c:v>
                    </c:pt>
                    <c:pt idx="4">
                      <c:v>45.741595905286722</c:v>
                    </c:pt>
                    <c:pt idx="5">
                      <c:v>43.570038399392708</c:v>
                    </c:pt>
                  </c:numLit>
                </c:val>
              </c15:ser>
            </c15:filteredBarSeries>
            <c15:filteredBarSeries>
              <c15:ser>
                <c:idx val="2"/>
                <c:order val="3"/>
                <c:tx>
                  <c:v>#ODKAZ!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1 + 2'!$K$44:$P$44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2.6429262410349352</c:v>
                    </c:pt>
                    <c:pt idx="1">
                      <c:v>2.4088898555942739</c:v>
                    </c:pt>
                    <c:pt idx="2">
                      <c:v>2.3339952728793585</c:v>
                    </c:pt>
                    <c:pt idx="3">
                      <c:v>2.2165975348427831</c:v>
                    </c:pt>
                    <c:pt idx="4">
                      <c:v>2.0851298852770812</c:v>
                    </c:pt>
                    <c:pt idx="5">
                      <c:v>1.9510357445666193</c:v>
                    </c:pt>
                  </c:numLit>
                </c:val>
              </c15:ser>
            </c15:filteredBarSeries>
            <c15:filteredBarSeries>
              <c15:ser>
                <c:idx val="4"/>
                <c:order val="5"/>
                <c:tx>
                  <c:v>#ODKAZ!</c:v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1 + 2'!$K$44:$P$44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1.9522579118334271</c:v>
                    </c:pt>
                    <c:pt idx="1">
                      <c:v>1.8680938465954051</c:v>
                    </c:pt>
                    <c:pt idx="2">
                      <c:v>1.6851893271237994</c:v>
                    </c:pt>
                    <c:pt idx="3">
                      <c:v>1.4659619362582053</c:v>
                    </c:pt>
                    <c:pt idx="4">
                      <c:v>1.2490601644404729</c:v>
                    </c:pt>
                    <c:pt idx="5">
                      <c:v>1.0658450998594231</c:v>
                    </c:pt>
                  </c:numLit>
                </c:val>
              </c15:ser>
            </c15:filteredBarSeries>
            <c15:filteredBarSeries>
              <c15:ser>
                <c:idx val="5"/>
                <c:order val="6"/>
                <c:tx>
                  <c:v>#ODKAZ!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1 + 2'!$K$44:$P$44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-1.0901560276103766</c:v>
                    </c:pt>
                    <c:pt idx="1">
                      <c:v>-0.9892290577345122</c:v>
                    </c:pt>
                    <c:pt idx="2">
                      <c:v>-5.2529058681955121E-2</c:v>
                    </c:pt>
                    <c:pt idx="3">
                      <c:v>-0.69690895178757728</c:v>
                    </c:pt>
                    <c:pt idx="4">
                      <c:v>-2.3519320426307999</c:v>
                    </c:pt>
                    <c:pt idx="5">
                      <c:v>-2.5358692542098993</c:v>
                    </c:pt>
                  </c:numLit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1"/>
          <c:tx>
            <c:strRef>
              <c:f>'Graf 1 + 2'!$J$45</c:f>
              <c:strCache>
                <c:ptCount val="1"/>
                <c:pt idx="0">
                  <c:v>General government gross debt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 + 2'!$K$44:$P$44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+ 2'!$K$21:$P$21</c:f>
              <c:numCache>
                <c:formatCode>0.0</c:formatCode>
                <c:ptCount val="6"/>
                <c:pt idx="0">
                  <c:v>52.480982290941959</c:v>
                </c:pt>
                <c:pt idx="1">
                  <c:v>51.944515578719063</c:v>
                </c:pt>
                <c:pt idx="2">
                  <c:v>51.753576813312797</c:v>
                </c:pt>
                <c:pt idx="3">
                  <c:v>49.936921613254334</c:v>
                </c:pt>
                <c:pt idx="4">
                  <c:v>47.993310076994348</c:v>
                </c:pt>
                <c:pt idx="5">
                  <c:v>45.978313115681118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'Graf 1 + 2'!$J$48</c:f>
              <c:strCache>
                <c:ptCount val="1"/>
                <c:pt idx="0">
                  <c:v>Net debt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1 + 2'!$K$44:$P$44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 + 2'!$K$24:$P$24</c:f>
              <c:numCache>
                <c:formatCode>0.0</c:formatCode>
                <c:ptCount val="6"/>
                <c:pt idx="0">
                  <c:v>48.214345627220681</c:v>
                </c:pt>
                <c:pt idx="1">
                  <c:v>47.004140566509029</c:v>
                </c:pt>
                <c:pt idx="2">
                  <c:v>46.852281109816708</c:v>
                </c:pt>
                <c:pt idx="3">
                  <c:v>45.090520052349831</c:v>
                </c:pt>
                <c:pt idx="4">
                  <c:v>42.690731994583544</c:v>
                </c:pt>
                <c:pt idx="5">
                  <c:v>40.516251122907782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979120"/>
        <c:axId val="539329200"/>
      </c:lineChart>
      <c:catAx>
        <c:axId val="5539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39329200"/>
        <c:crosses val="autoZero"/>
        <c:auto val="1"/>
        <c:lblAlgn val="ctr"/>
        <c:lblOffset val="100"/>
        <c:noMultiLvlLbl val="0"/>
      </c:catAx>
      <c:valAx>
        <c:axId val="539329200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5397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252702118460866E-2"/>
          <c:y val="9.7452424800491093E-3"/>
          <c:w val="0.95579658452226546"/>
          <c:h val="0.21879450583179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20 + Tab 8 '!$K$6</c:f>
              <c:strCache>
                <c:ptCount val="1"/>
                <c:pt idx="0">
                  <c:v>zamestnanosť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20 + Tab 8 '!$L$5:$W$5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20 + Tab 8 '!$L$6:$W$6</c:f>
              <c:numCache>
                <c:formatCode>0.0</c:formatCode>
                <c:ptCount val="12"/>
                <c:pt idx="0">
                  <c:v>-7.1389245138788636E-3</c:v>
                </c:pt>
                <c:pt idx="1">
                  <c:v>1.70947778346596E-2</c:v>
                </c:pt>
                <c:pt idx="2">
                  <c:v>0.35886003564572633</c:v>
                </c:pt>
                <c:pt idx="3">
                  <c:v>0.16104793755899161</c:v>
                </c:pt>
                <c:pt idx="4">
                  <c:v>9.672213274461991E-2</c:v>
                </c:pt>
                <c:pt idx="5">
                  <c:v>0.19245291118208233</c:v>
                </c:pt>
                <c:pt idx="6">
                  <c:v>0.26510352586309632</c:v>
                </c:pt>
                <c:pt idx="7">
                  <c:v>0.28527988611121602</c:v>
                </c:pt>
                <c:pt idx="8">
                  <c:v>0.23268673313581101</c:v>
                </c:pt>
                <c:pt idx="9">
                  <c:v>0.16538790378794163</c:v>
                </c:pt>
                <c:pt idx="10">
                  <c:v>0.14849446225642338</c:v>
                </c:pt>
                <c:pt idx="11">
                  <c:v>0.14305337520904898</c:v>
                </c:pt>
              </c:numCache>
            </c:numRef>
          </c:val>
        </c:ser>
        <c:ser>
          <c:idx val="2"/>
          <c:order val="1"/>
          <c:tx>
            <c:strRef>
              <c:f>'Graf 20 + Tab 8 '!$K$7</c:f>
              <c:strCache>
                <c:ptCount val="1"/>
                <c:pt idx="0">
                  <c:v>zásoba kapitálu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20 + Tab 8 '!$L$5:$W$5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20 + Tab 8 '!$L$7:$W$7</c:f>
              <c:numCache>
                <c:formatCode>0.0</c:formatCode>
                <c:ptCount val="12"/>
                <c:pt idx="0">
                  <c:v>1.0268783398316244</c:v>
                </c:pt>
                <c:pt idx="1">
                  <c:v>0.75795459792931397</c:v>
                </c:pt>
                <c:pt idx="2">
                  <c:v>0.9415823509716682</c:v>
                </c:pt>
                <c:pt idx="3">
                  <c:v>0.80803455549810599</c:v>
                </c:pt>
                <c:pt idx="4">
                  <c:v>0.55434660809680647</c:v>
                </c:pt>
                <c:pt idx="5">
                  <c:v>0.46823515423966167</c:v>
                </c:pt>
                <c:pt idx="6">
                  <c:v>0.65145430231646162</c:v>
                </c:pt>
                <c:pt idx="7">
                  <c:v>0.73999940320823077</c:v>
                </c:pt>
                <c:pt idx="8">
                  <c:v>0.5975475760979817</c:v>
                </c:pt>
                <c:pt idx="9">
                  <c:v>0.70823839145495815</c:v>
                </c:pt>
                <c:pt idx="10">
                  <c:v>0.7580965514711242</c:v>
                </c:pt>
                <c:pt idx="11">
                  <c:v>0.83463511236198762</c:v>
                </c:pt>
              </c:numCache>
            </c:numRef>
          </c:val>
        </c:ser>
        <c:ser>
          <c:idx val="3"/>
          <c:order val="2"/>
          <c:tx>
            <c:strRef>
              <c:f>'Graf 20 + Tab 8 '!$K$8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20 + Tab 8 '!$L$5:$W$5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20 + Tab 8 '!$L$8:$W$8</c:f>
              <c:numCache>
                <c:formatCode>0.0</c:formatCode>
                <c:ptCount val="12"/>
                <c:pt idx="0">
                  <c:v>0.50587356045126297</c:v>
                </c:pt>
                <c:pt idx="1">
                  <c:v>0.53578792325651059</c:v>
                </c:pt>
                <c:pt idx="2">
                  <c:v>1.0092298880525661</c:v>
                </c:pt>
                <c:pt idx="3">
                  <c:v>1.3963555157278504</c:v>
                </c:pt>
                <c:pt idx="4">
                  <c:v>1.42931265005079</c:v>
                </c:pt>
                <c:pt idx="5">
                  <c:v>1.6891374981364837</c:v>
                </c:pt>
                <c:pt idx="6">
                  <c:v>2.0273696518889506</c:v>
                </c:pt>
                <c:pt idx="7">
                  <c:v>1.801583591743972</c:v>
                </c:pt>
                <c:pt idx="8">
                  <c:v>2.0276401761380547</c:v>
                </c:pt>
                <c:pt idx="9">
                  <c:v>2.6406302953851291</c:v>
                </c:pt>
                <c:pt idx="10">
                  <c:v>2.79158006031563</c:v>
                </c:pt>
                <c:pt idx="11">
                  <c:v>2.8589565064277247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0202048"/>
        <c:axId val="610202440"/>
      </c:barChart>
      <c:lineChart>
        <c:grouping val="standard"/>
        <c:varyColors val="0"/>
        <c:ser>
          <c:idx val="0"/>
          <c:order val="3"/>
          <c:tx>
            <c:strRef>
              <c:f>'Graf 20 + Tab 8 '!$K$9</c:f>
              <c:strCache>
                <c:ptCount val="1"/>
                <c:pt idx="0">
                  <c:v>pot. produkt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20 + Tab 8 '!$L$5:$W$5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20 + Tab 8 '!$L$9:$W$9</c:f>
              <c:numCache>
                <c:formatCode>0.0</c:formatCode>
                <c:ptCount val="12"/>
                <c:pt idx="0">
                  <c:v>1.5256129757690085</c:v>
                </c:pt>
                <c:pt idx="1">
                  <c:v>1.3108372990204842</c:v>
                </c:pt>
                <c:pt idx="2">
                  <c:v>2.3096722746699605</c:v>
                </c:pt>
                <c:pt idx="3">
                  <c:v>2.365438008784948</c:v>
                </c:pt>
                <c:pt idx="4">
                  <c:v>2.0803813908922164</c:v>
                </c:pt>
                <c:pt idx="5">
                  <c:v>2.3498255635582277</c:v>
                </c:pt>
                <c:pt idx="6">
                  <c:v>2.9439274800685089</c:v>
                </c:pt>
                <c:pt idx="7">
                  <c:v>2.8268628810634189</c:v>
                </c:pt>
                <c:pt idx="8">
                  <c:v>2.8578744853718474</c:v>
                </c:pt>
                <c:pt idx="9">
                  <c:v>3.5142565906280288</c:v>
                </c:pt>
                <c:pt idx="10">
                  <c:v>3.6981710740431772</c:v>
                </c:pt>
                <c:pt idx="11">
                  <c:v>3.8366449939987612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02048"/>
        <c:axId val="610202440"/>
      </c:lineChart>
      <c:catAx>
        <c:axId val="61020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610202440"/>
        <c:crosses val="autoZero"/>
        <c:auto val="1"/>
        <c:lblAlgn val="ctr"/>
        <c:lblOffset val="100"/>
        <c:noMultiLvlLbl val="0"/>
      </c:catAx>
      <c:valAx>
        <c:axId val="61020244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6102020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5425992649852241"/>
          <c:y val="5.3832982919019938E-2"/>
          <c:w val="0.74467622517334575"/>
          <c:h val="0.1527094690086816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20 + Tab 8 '!$K$13</c:f>
              <c:strCache>
                <c:ptCount val="1"/>
                <c:pt idx="0">
                  <c:v>employment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20 + Tab 8 '!$L$5:$W$5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20 + Tab 8 '!$L$6:$W$6</c:f>
              <c:numCache>
                <c:formatCode>0.0</c:formatCode>
                <c:ptCount val="12"/>
                <c:pt idx="0">
                  <c:v>-7.1389245138788636E-3</c:v>
                </c:pt>
                <c:pt idx="1">
                  <c:v>1.70947778346596E-2</c:v>
                </c:pt>
                <c:pt idx="2">
                  <c:v>0.35886003564572633</c:v>
                </c:pt>
                <c:pt idx="3">
                  <c:v>0.16104793755899161</c:v>
                </c:pt>
                <c:pt idx="4">
                  <c:v>9.672213274461991E-2</c:v>
                </c:pt>
                <c:pt idx="5">
                  <c:v>0.19245291118208233</c:v>
                </c:pt>
                <c:pt idx="6">
                  <c:v>0.26510352586309632</c:v>
                </c:pt>
                <c:pt idx="7">
                  <c:v>0.28527988611121602</c:v>
                </c:pt>
                <c:pt idx="8">
                  <c:v>0.23268673313581101</c:v>
                </c:pt>
                <c:pt idx="9">
                  <c:v>0.16538790378794163</c:v>
                </c:pt>
                <c:pt idx="10">
                  <c:v>0.14849446225642338</c:v>
                </c:pt>
                <c:pt idx="11">
                  <c:v>0.14305337520904898</c:v>
                </c:pt>
              </c:numCache>
            </c:numRef>
          </c:val>
        </c:ser>
        <c:ser>
          <c:idx val="2"/>
          <c:order val="1"/>
          <c:tx>
            <c:strRef>
              <c:f>'Graf 20 + Tab 8 '!$K$14</c:f>
              <c:strCache>
                <c:ptCount val="1"/>
                <c:pt idx="0">
                  <c:v>capital stock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20 + Tab 8 '!$L$5:$W$5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20 + Tab 8 '!$L$7:$W$7</c:f>
              <c:numCache>
                <c:formatCode>0.0</c:formatCode>
                <c:ptCount val="12"/>
                <c:pt idx="0">
                  <c:v>1.0268783398316244</c:v>
                </c:pt>
                <c:pt idx="1">
                  <c:v>0.75795459792931397</c:v>
                </c:pt>
                <c:pt idx="2">
                  <c:v>0.9415823509716682</c:v>
                </c:pt>
                <c:pt idx="3">
                  <c:v>0.80803455549810599</c:v>
                </c:pt>
                <c:pt idx="4">
                  <c:v>0.55434660809680647</c:v>
                </c:pt>
                <c:pt idx="5">
                  <c:v>0.46823515423966167</c:v>
                </c:pt>
                <c:pt idx="6">
                  <c:v>0.65145430231646162</c:v>
                </c:pt>
                <c:pt idx="7">
                  <c:v>0.73999940320823077</c:v>
                </c:pt>
                <c:pt idx="8">
                  <c:v>0.5975475760979817</c:v>
                </c:pt>
                <c:pt idx="9">
                  <c:v>0.70823839145495815</c:v>
                </c:pt>
                <c:pt idx="10">
                  <c:v>0.7580965514711242</c:v>
                </c:pt>
                <c:pt idx="11">
                  <c:v>0.83463511236198762</c:v>
                </c:pt>
              </c:numCache>
            </c:numRef>
          </c:val>
        </c:ser>
        <c:ser>
          <c:idx val="3"/>
          <c:order val="2"/>
          <c:tx>
            <c:strRef>
              <c:f>'Graf 20 + Tab 8 '!$K$15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20 + Tab 8 '!$L$5:$W$5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20 + Tab 8 '!$L$8:$W$8</c:f>
              <c:numCache>
                <c:formatCode>0.0</c:formatCode>
                <c:ptCount val="12"/>
                <c:pt idx="0">
                  <c:v>0.50587356045126297</c:v>
                </c:pt>
                <c:pt idx="1">
                  <c:v>0.53578792325651059</c:v>
                </c:pt>
                <c:pt idx="2">
                  <c:v>1.0092298880525661</c:v>
                </c:pt>
                <c:pt idx="3">
                  <c:v>1.3963555157278504</c:v>
                </c:pt>
                <c:pt idx="4">
                  <c:v>1.42931265005079</c:v>
                </c:pt>
                <c:pt idx="5">
                  <c:v>1.6891374981364837</c:v>
                </c:pt>
                <c:pt idx="6">
                  <c:v>2.0273696518889506</c:v>
                </c:pt>
                <c:pt idx="7">
                  <c:v>1.801583591743972</c:v>
                </c:pt>
                <c:pt idx="8">
                  <c:v>2.0276401761380547</c:v>
                </c:pt>
                <c:pt idx="9">
                  <c:v>2.6406302953851291</c:v>
                </c:pt>
                <c:pt idx="10">
                  <c:v>2.79158006031563</c:v>
                </c:pt>
                <c:pt idx="11">
                  <c:v>2.8589565064277247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617536"/>
        <c:axId val="542617928"/>
      </c:barChart>
      <c:lineChart>
        <c:grouping val="standard"/>
        <c:varyColors val="0"/>
        <c:ser>
          <c:idx val="0"/>
          <c:order val="3"/>
          <c:tx>
            <c:strRef>
              <c:f>'Graf 20 + Tab 8 '!$K$16</c:f>
              <c:strCache>
                <c:ptCount val="1"/>
                <c:pt idx="0">
                  <c:v>pot. output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20 + Tab 8 '!$L$5:$W$5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  <c:pt idx="11">
                  <c:v>2020F</c:v>
                </c:pt>
              </c:strCache>
            </c:strRef>
          </c:cat>
          <c:val>
            <c:numRef>
              <c:f>'Graf 20 + Tab 8 '!$L$9:$W$9</c:f>
              <c:numCache>
                <c:formatCode>0.0</c:formatCode>
                <c:ptCount val="12"/>
                <c:pt idx="0">
                  <c:v>1.5256129757690085</c:v>
                </c:pt>
                <c:pt idx="1">
                  <c:v>1.3108372990204842</c:v>
                </c:pt>
                <c:pt idx="2">
                  <c:v>2.3096722746699605</c:v>
                </c:pt>
                <c:pt idx="3">
                  <c:v>2.365438008784948</c:v>
                </c:pt>
                <c:pt idx="4">
                  <c:v>2.0803813908922164</c:v>
                </c:pt>
                <c:pt idx="5">
                  <c:v>2.3498255635582277</c:v>
                </c:pt>
                <c:pt idx="6">
                  <c:v>2.9439274800685089</c:v>
                </c:pt>
                <c:pt idx="7">
                  <c:v>2.8268628810634189</c:v>
                </c:pt>
                <c:pt idx="8">
                  <c:v>2.8578744853718474</c:v>
                </c:pt>
                <c:pt idx="9">
                  <c:v>3.5142565906280288</c:v>
                </c:pt>
                <c:pt idx="10">
                  <c:v>3.6981710740431772</c:v>
                </c:pt>
                <c:pt idx="11">
                  <c:v>3.8366449939987612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617536"/>
        <c:axId val="542617928"/>
      </c:lineChart>
      <c:catAx>
        <c:axId val="5426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542617928"/>
        <c:crosses val="autoZero"/>
        <c:auto val="1"/>
        <c:lblAlgn val="ctr"/>
        <c:lblOffset val="100"/>
        <c:noMultiLvlLbl val="0"/>
      </c:catAx>
      <c:valAx>
        <c:axId val="54261792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5426175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5425992649852241"/>
          <c:y val="5.3832982919019938E-2"/>
          <c:w val="0.68579083765948812"/>
          <c:h val="0.17003561475244303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21  + Tab 9 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21  + Tab 9 '!$K$5:$AA$5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2017F</c:v>
                </c:pt>
                <c:pt idx="14">
                  <c:v>2018F</c:v>
                </c:pt>
                <c:pt idx="15">
                  <c:v>2019F</c:v>
                </c:pt>
                <c:pt idx="16">
                  <c:v>2018F</c:v>
                </c:pt>
              </c:strCache>
            </c:strRef>
          </c:cat>
          <c:val>
            <c:numRef>
              <c:f>'Graf 21  + Tab 9 '!$K$6:$AA$6</c:f>
              <c:numCache>
                <c:formatCode>0.00</c:formatCode>
                <c:ptCount val="17"/>
                <c:pt idx="0">
                  <c:v>-1.4047966940387306</c:v>
                </c:pt>
                <c:pt idx="1">
                  <c:v>-1.7506533659351791</c:v>
                </c:pt>
                <c:pt idx="2">
                  <c:v>-1.0485301639661544</c:v>
                </c:pt>
                <c:pt idx="3">
                  <c:v>2.1911663298463635</c:v>
                </c:pt>
                <c:pt idx="4">
                  <c:v>2.4530244557755956</c:v>
                </c:pt>
                <c:pt idx="5">
                  <c:v>-4.5586005213269143</c:v>
                </c:pt>
                <c:pt idx="6">
                  <c:v>-1.0438694474156673</c:v>
                </c:pt>
                <c:pt idx="7">
                  <c:v>-0.55114038636589835</c:v>
                </c:pt>
                <c:pt idx="8">
                  <c:v>-1.2392492508312611</c:v>
                </c:pt>
                <c:pt idx="9">
                  <c:v>-1.8098061581903988</c:v>
                </c:pt>
                <c:pt idx="10">
                  <c:v>-1.5977619585644702</c:v>
                </c:pt>
                <c:pt idx="11">
                  <c:v>-0.74974434416658475</c:v>
                </c:pt>
                <c:pt idx="12">
                  <c:v>-0.24538980247807335</c:v>
                </c:pt>
                <c:pt idx="13">
                  <c:v>0.19824079131452454</c:v>
                </c:pt>
                <c:pt idx="14">
                  <c:v>0.68292147510253898</c:v>
                </c:pt>
                <c:pt idx="15">
                  <c:v>1.3277666184190509</c:v>
                </c:pt>
                <c:pt idx="16">
                  <c:v>1.3021185824278829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618712"/>
        <c:axId val="542619104"/>
      </c:lineChart>
      <c:catAx>
        <c:axId val="54261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542619104"/>
        <c:crosses val="autoZero"/>
        <c:auto val="1"/>
        <c:lblAlgn val="ctr"/>
        <c:lblOffset val="100"/>
        <c:noMultiLvlLbl val="0"/>
      </c:catAx>
      <c:valAx>
        <c:axId val="54261910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5426187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21  + Tab 9 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21  + Tab 9 '!$K$5:$AA$5</c:f>
              <c:strCach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2017F</c:v>
                </c:pt>
                <c:pt idx="14">
                  <c:v>2018F</c:v>
                </c:pt>
                <c:pt idx="15">
                  <c:v>2019F</c:v>
                </c:pt>
                <c:pt idx="16">
                  <c:v>2018F</c:v>
                </c:pt>
              </c:strCache>
            </c:strRef>
          </c:cat>
          <c:val>
            <c:numRef>
              <c:f>'Graf 21  + Tab 9 '!$K$6:$AA$6</c:f>
              <c:numCache>
                <c:formatCode>0.00</c:formatCode>
                <c:ptCount val="17"/>
                <c:pt idx="0">
                  <c:v>-1.4047966940387306</c:v>
                </c:pt>
                <c:pt idx="1">
                  <c:v>-1.7506533659351791</c:v>
                </c:pt>
                <c:pt idx="2">
                  <c:v>-1.0485301639661544</c:v>
                </c:pt>
                <c:pt idx="3">
                  <c:v>2.1911663298463635</c:v>
                </c:pt>
                <c:pt idx="4">
                  <c:v>2.4530244557755956</c:v>
                </c:pt>
                <c:pt idx="5">
                  <c:v>-4.5586005213269143</c:v>
                </c:pt>
                <c:pt idx="6">
                  <c:v>-1.0438694474156673</c:v>
                </c:pt>
                <c:pt idx="7">
                  <c:v>-0.55114038636589835</c:v>
                </c:pt>
                <c:pt idx="8">
                  <c:v>-1.2392492508312611</c:v>
                </c:pt>
                <c:pt idx="9">
                  <c:v>-1.8098061581903988</c:v>
                </c:pt>
                <c:pt idx="10">
                  <c:v>-1.5977619585644702</c:v>
                </c:pt>
                <c:pt idx="11">
                  <c:v>-0.74974434416658475</c:v>
                </c:pt>
                <c:pt idx="12">
                  <c:v>-0.24538980247807335</c:v>
                </c:pt>
                <c:pt idx="13">
                  <c:v>0.19824079131452454</c:v>
                </c:pt>
                <c:pt idx="14">
                  <c:v>0.68292147510253898</c:v>
                </c:pt>
                <c:pt idx="15">
                  <c:v>1.3277666184190509</c:v>
                </c:pt>
                <c:pt idx="16">
                  <c:v>1.3021185824278829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619888"/>
        <c:axId val="542620280"/>
      </c:lineChart>
      <c:catAx>
        <c:axId val="54261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542620280"/>
        <c:crosses val="autoZero"/>
        <c:auto val="1"/>
        <c:lblAlgn val="ctr"/>
        <c:lblOffset val="100"/>
        <c:noMultiLvlLbl val="0"/>
      </c:catAx>
      <c:valAx>
        <c:axId val="54262028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5426198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Nominálne saldo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9.05278414693547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070378862580637E-2"/>
                  <c:y val="5.5436507936507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0351894312902082E-3"/>
                  <c:y val="1.0079365079365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22 + 23 '!$B$20:$G$20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'!$B$21:$G$21</c:f>
              <c:numCache>
                <c:formatCode>0.00</c:formatCode>
                <c:ptCount val="6"/>
                <c:pt idx="0">
                  <c:v>-2.7445806862164637</c:v>
                </c:pt>
                <c:pt idx="1">
                  <c:v>-1.6817818285144437</c:v>
                </c:pt>
                <c:pt idx="2">
                  <c:v>-1.2399995686941512</c:v>
                </c:pt>
                <c:pt idx="3">
                  <c:v>-0.50000000000000522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1"/>
          <c:tx>
            <c:v>Štrukturálne saldo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22 + 23 '!$B$20:$G$20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'!$B$22:$G$22</c:f>
              <c:numCache>
                <c:formatCode>0.00</c:formatCode>
                <c:ptCount val="6"/>
                <c:pt idx="0">
                  <c:v>-2.3215508695872575</c:v>
                </c:pt>
                <c:pt idx="1">
                  <c:v>-1.3881204053720908</c:v>
                </c:pt>
                <c:pt idx="2">
                  <c:v>-1.0124596682186437</c:v>
                </c:pt>
                <c:pt idx="3">
                  <c:v>-0.40487011073020646</c:v>
                </c:pt>
                <c:pt idx="4">
                  <c:v>-0.24007295457461639</c:v>
                </c:pt>
                <c:pt idx="5">
                  <c:v>-0.36551718565750513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42621064"/>
        <c:axId val="659340176"/>
        <c:extLst/>
      </c:barChart>
      <c:lineChart>
        <c:grouping val="standard"/>
        <c:varyColors val="0"/>
        <c:ser>
          <c:idx val="6"/>
          <c:order val="2"/>
          <c:tx>
            <c:v>Konsolidačné úsilie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4389768690672782E-2"/>
                  <c:y val="-6.0564285714285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7198626637996E-2"/>
                  <c:y val="3.5189682539682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'Graf 22 + 23 '!$B$23:$G$23</c:f>
              <c:numCache>
                <c:formatCode>0.00</c:formatCode>
                <c:ptCount val="6"/>
                <c:pt idx="0">
                  <c:v>-0.11919044031814474</c:v>
                </c:pt>
                <c:pt idx="1">
                  <c:v>0.93343046421516673</c:v>
                </c:pt>
                <c:pt idx="2">
                  <c:v>0.37566073715344706</c:v>
                </c:pt>
                <c:pt idx="3">
                  <c:v>0.60758955748843735</c:v>
                </c:pt>
                <c:pt idx="4">
                  <c:v>0.16479715615559007</c:v>
                </c:pt>
                <c:pt idx="5">
                  <c:v>-0.12544423108288874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621064"/>
        <c:axId val="659340176"/>
        <c:extLst/>
      </c:lineChart>
      <c:catAx>
        <c:axId val="54262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340176"/>
        <c:crosses val="autoZero"/>
        <c:auto val="1"/>
        <c:lblAlgn val="ctr"/>
        <c:lblOffset val="100"/>
        <c:noMultiLvlLbl val="0"/>
      </c:catAx>
      <c:valAx>
        <c:axId val="65934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262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9994083639456E-2"/>
          <c:y val="4.535714285714286E-2"/>
          <c:w val="0.89999995244083164"/>
          <c:h val="8.107896825396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1539126675313"/>
          <c:y val="0.22366712707182315"/>
          <c:w val="0.8408531488687131"/>
          <c:h val="0.65867480049109883"/>
        </c:manualLayout>
      </c:layout>
      <c:barChart>
        <c:barDir val="col"/>
        <c:grouping val="stacked"/>
        <c:varyColors val="0"/>
        <c:ser>
          <c:idx val="7"/>
          <c:order val="0"/>
          <c:tx>
            <c:v>Hrubý dlh (očistený o EFSF a ESM)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22 + 23 '!$K$20:$P$20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'!$K$22:$P$22</c:f>
              <c:numCache>
                <c:formatCode>0.0</c:formatCode>
                <c:ptCount val="6"/>
                <c:pt idx="0">
                  <c:v>49.253149452010376</c:v>
                </c:pt>
                <c:pt idx="1">
                  <c:v>48.80728421301373</c:v>
                </c:pt>
                <c:pt idx="2">
                  <c:v>48.750704605901639</c:v>
                </c:pt>
                <c:pt idx="3">
                  <c:v>47.09437939669445</c:v>
                </c:pt>
                <c:pt idx="4">
                  <c:v>45.321849152305461</c:v>
                </c:pt>
                <c:pt idx="5">
                  <c:v>43.456875600375923</c:v>
                </c:pt>
              </c:numCache>
            </c:numRef>
          </c:val>
        </c:ser>
        <c:ser>
          <c:idx val="3"/>
          <c:order val="2"/>
          <c:tx>
            <c:strRef>
              <c:f>'Graf 22 + 23 '!$J$23</c:f>
              <c:strCache>
                <c:ptCount val="1"/>
                <c:pt idx="0">
                  <c:v>EFSF + ESM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22 + 23 '!$K$20:$P$20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'!$K$23:$P$23</c:f>
              <c:numCache>
                <c:formatCode>0.0</c:formatCode>
                <c:ptCount val="6"/>
                <c:pt idx="0">
                  <c:v>3.2278328389315822</c:v>
                </c:pt>
                <c:pt idx="1">
                  <c:v>3.1372313657053303</c:v>
                </c:pt>
                <c:pt idx="2">
                  <c:v>3.0028722074111593</c:v>
                </c:pt>
                <c:pt idx="3">
                  <c:v>2.8425422165598846</c:v>
                </c:pt>
                <c:pt idx="4">
                  <c:v>2.671460924688887</c:v>
                </c:pt>
                <c:pt idx="5">
                  <c:v>2.5214375153051916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9340960"/>
        <c:axId val="659341352"/>
        <c:extLst/>
      </c:barChart>
      <c:lineChart>
        <c:grouping val="standard"/>
        <c:varyColors val="0"/>
        <c:ser>
          <c:idx val="0"/>
          <c:order val="1"/>
          <c:tx>
            <c:strRef>
              <c:f>'Graf 22 + 23 '!$J$21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22 + 23 '!$K$20:$P$20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'!$K$21:$P$21</c:f>
              <c:numCache>
                <c:formatCode>0.0</c:formatCode>
                <c:ptCount val="6"/>
                <c:pt idx="0">
                  <c:v>52.480982290941959</c:v>
                </c:pt>
                <c:pt idx="1">
                  <c:v>51.944515578719063</c:v>
                </c:pt>
                <c:pt idx="2">
                  <c:v>51.753576813312797</c:v>
                </c:pt>
                <c:pt idx="3">
                  <c:v>49.936921613254334</c:v>
                </c:pt>
                <c:pt idx="4">
                  <c:v>47.993310076994348</c:v>
                </c:pt>
                <c:pt idx="5">
                  <c:v>45.978313115681118</c:v>
                </c:pt>
              </c:numCache>
            </c:numRef>
          </c:val>
          <c:smooth val="0"/>
        </c:ser>
        <c:ser>
          <c:idx val="6"/>
          <c:order val="3"/>
          <c:tx>
            <c:v>Čistý dlh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22 + 23 '!$K$20:$P$20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'!$K$24:$P$24</c:f>
              <c:numCache>
                <c:formatCode>0.0</c:formatCode>
                <c:ptCount val="6"/>
                <c:pt idx="0">
                  <c:v>48.214345627220681</c:v>
                </c:pt>
                <c:pt idx="1">
                  <c:v>47.004140566509029</c:v>
                </c:pt>
                <c:pt idx="2">
                  <c:v>46.852281109816708</c:v>
                </c:pt>
                <c:pt idx="3">
                  <c:v>45.090520052349831</c:v>
                </c:pt>
                <c:pt idx="4">
                  <c:v>42.690731994583544</c:v>
                </c:pt>
                <c:pt idx="5">
                  <c:v>40.516251122907782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40960"/>
        <c:axId val="659341352"/>
      </c:lineChart>
      <c:catAx>
        <c:axId val="6593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341352"/>
        <c:crosses val="autoZero"/>
        <c:auto val="1"/>
        <c:lblAlgn val="ctr"/>
        <c:lblOffset val="100"/>
        <c:noMultiLvlLbl val="0"/>
      </c:catAx>
      <c:valAx>
        <c:axId val="65934135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34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9716728317815579E-2"/>
          <c:y val="0"/>
          <c:w val="0.95579658452226546"/>
          <c:h val="0.194431399631675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22 + 23 '!$A$45</c:f>
              <c:strCache>
                <c:ptCount val="1"/>
                <c:pt idx="0">
                  <c:v>Gemeral government 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22 + 23 '!$B$44:$G$44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'!$B$45:$G$45</c:f>
              <c:numCache>
                <c:formatCode>0.00</c:formatCode>
                <c:ptCount val="6"/>
                <c:pt idx="0">
                  <c:v>-2.7445806862164637</c:v>
                </c:pt>
                <c:pt idx="1">
                  <c:v>-1.6817818285144437</c:v>
                </c:pt>
                <c:pt idx="2">
                  <c:v>-1.2399995686941512</c:v>
                </c:pt>
                <c:pt idx="3">
                  <c:v>-0.50000000000000522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 22 + 23 '!$A$46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22 + 23 '!$B$44:$G$44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'!$B$46:$G$46</c:f>
              <c:numCache>
                <c:formatCode>0.00</c:formatCode>
                <c:ptCount val="6"/>
                <c:pt idx="0">
                  <c:v>-2.3215508695872575</c:v>
                </c:pt>
                <c:pt idx="1">
                  <c:v>-1.3881204053720908</c:v>
                </c:pt>
                <c:pt idx="2">
                  <c:v>-1.0124596682186437</c:v>
                </c:pt>
                <c:pt idx="3">
                  <c:v>-0.40487011073020646</c:v>
                </c:pt>
                <c:pt idx="4">
                  <c:v>-0.24007295457461639</c:v>
                </c:pt>
                <c:pt idx="5">
                  <c:v>-0.36551718565750513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9342136"/>
        <c:axId val="65934252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#ODKAZ!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 22 + 23 '!$B$44:$G$44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-0.76824761672633235</c:v>
                    </c:pt>
                    <c:pt idx="1">
                      <c:v>-0.48303497501143366</c:v>
                    </c:pt>
                    <c:pt idx="2">
                      <c:v>-0.40937913778683582</c:v>
                    </c:pt>
                    <c:pt idx="3">
                      <c:v>-0.26601868576682675</c:v>
                    </c:pt>
                    <c:pt idx="4">
                      <c:v>8.2188494979382049E-2</c:v>
                    </c:pt>
                    <c:pt idx="5">
                      <c:v>0.65512676216840304</c:v>
                    </c:pt>
                  </c:numLit>
                </c:val>
              </c15:ser>
            </c15:filteredBarSeries>
            <c15:filteredBarSeries>
              <c15:ser>
                <c:idx val="2"/>
                <c:order val="2"/>
                <c:tx>
                  <c:v>#ODKAZ!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22 + 23 '!$B$44:$G$44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-1.2519740276885707E-3</c:v>
                    </c:pt>
                    <c:pt idx="1">
                      <c:v>-0.31213125928600882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</c15:ser>
            </c15:filteredBarSeries>
            <c15:filteredBarSeries>
              <c15:ser>
                <c:idx val="5"/>
                <c:order val="5"/>
                <c:tx>
                  <c:v>#ODKAZ!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22 + 23 '!$B$44:$G$44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0.4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'Graf 22 + 23 '!$A$47</c:f>
              <c:strCache>
                <c:ptCount val="1"/>
                <c:pt idx="0">
                  <c:v>Consolidation effort EC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1.0532215629464728E-2"/>
                  <c:y val="-5.552460317460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'Graf 22 + 23 '!$B$47:$G$47</c:f>
              <c:numCache>
                <c:formatCode>0.00</c:formatCode>
                <c:ptCount val="6"/>
                <c:pt idx="0">
                  <c:v>-0.11919044031814474</c:v>
                </c:pt>
                <c:pt idx="1">
                  <c:v>0.93343046421516673</c:v>
                </c:pt>
                <c:pt idx="2">
                  <c:v>0.37566073715344706</c:v>
                </c:pt>
                <c:pt idx="3">
                  <c:v>0.60758955748843735</c:v>
                </c:pt>
                <c:pt idx="4">
                  <c:v>0.16479715615559007</c:v>
                </c:pt>
                <c:pt idx="5">
                  <c:v>-0.12544423108288874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42136"/>
        <c:axId val="659342528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#ODKAZ!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6"/>
                    <c:pt idx="0">
                      <c:v>2014</c:v>
                    </c:pt>
                    <c:pt idx="1">
                      <c:v>2015</c:v>
                    </c:pt>
                    <c:pt idx="2">
                      <c:v>2016</c:v>
                    </c:pt>
                    <c:pt idx="3">
                      <c:v>2017</c:v>
                    </c:pt>
                    <c:pt idx="4">
                      <c:v>2018</c:v>
                    </c:pt>
                    <c:pt idx="5">
                      <c:v>2019</c:v>
                    </c:pt>
                  </c:numLit>
                </c:cat>
                <c:val>
                  <c:numLit>
                    <c:formatCode>General</c:formatCode>
                    <c:ptCount val="6"/>
                    <c:pt idx="0">
                      <c:v>-0.36519077765016172</c:v>
                    </c:pt>
                    <c:pt idx="1">
                      <c:v>-0.25433335645657884</c:v>
                    </c:pt>
                    <c:pt idx="2">
                      <c:v>0.4542129034893938</c:v>
                    </c:pt>
                    <c:pt idx="3">
                      <c:v>0.69663954797999073</c:v>
                    </c:pt>
                    <c:pt idx="4">
                      <c:v>0.50179281925379127</c:v>
                    </c:pt>
                    <c:pt idx="5">
                      <c:v>2.2188494979382023E-2</c:v>
                    </c:pt>
                  </c:numLit>
                </c:val>
                <c:smooth val="0"/>
              </c15:ser>
            </c15:filteredLineSeries>
          </c:ext>
        </c:extLst>
      </c:lineChart>
      <c:catAx>
        <c:axId val="659342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342528"/>
        <c:crosses val="autoZero"/>
        <c:auto val="1"/>
        <c:lblAlgn val="ctr"/>
        <c:lblOffset val="100"/>
        <c:noMultiLvlLbl val="0"/>
      </c:catAx>
      <c:valAx>
        <c:axId val="659342528"/>
        <c:scaling>
          <c:orientation val="minMax"/>
          <c:max val="1.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3421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9994083639456E-2"/>
          <c:y val="4.535714285714286E-2"/>
          <c:w val="0.89999995244083164"/>
          <c:h val="0.14667589005718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81539126675313"/>
          <c:y val="0.27367254328716689"/>
          <c:w val="0.8408531488687131"/>
          <c:h val="0.60866944255775723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'Graf 22 + 23 '!$J$46</c:f>
              <c:strCache>
                <c:ptCount val="1"/>
                <c:pt idx="0">
                  <c:v>Gross debt (excl. ESM and EFSF)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22 + 23 '!$K$44:$P$44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'!$K$22:$P$22</c:f>
              <c:numCache>
                <c:formatCode>0.0</c:formatCode>
                <c:ptCount val="6"/>
                <c:pt idx="0">
                  <c:v>49.253149452010376</c:v>
                </c:pt>
                <c:pt idx="1">
                  <c:v>48.80728421301373</c:v>
                </c:pt>
                <c:pt idx="2">
                  <c:v>48.750704605901639</c:v>
                </c:pt>
                <c:pt idx="3">
                  <c:v>47.09437939669445</c:v>
                </c:pt>
                <c:pt idx="4">
                  <c:v>45.321849152305461</c:v>
                </c:pt>
                <c:pt idx="5">
                  <c:v>43.456875600375923</c:v>
                </c:pt>
              </c:numCache>
            </c:numRef>
          </c:val>
        </c:ser>
        <c:ser>
          <c:idx val="3"/>
          <c:order val="4"/>
          <c:tx>
            <c:strRef>
              <c:f>'Graf 22 + 23 '!$J$47</c:f>
              <c:strCache>
                <c:ptCount val="1"/>
                <c:pt idx="0">
                  <c:v>EFSF and  ESM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'Graf 22 + 23 '!$K$44:$P$44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'!$K$23:$P$23</c:f>
              <c:numCache>
                <c:formatCode>0.0</c:formatCode>
                <c:ptCount val="6"/>
                <c:pt idx="0">
                  <c:v>3.2278328389315822</c:v>
                </c:pt>
                <c:pt idx="1">
                  <c:v>3.1372313657053303</c:v>
                </c:pt>
                <c:pt idx="2">
                  <c:v>3.0028722074111593</c:v>
                </c:pt>
                <c:pt idx="3">
                  <c:v>2.8425422165598846</c:v>
                </c:pt>
                <c:pt idx="4">
                  <c:v>2.671460924688887</c:v>
                </c:pt>
                <c:pt idx="5">
                  <c:v>2.5214375153051916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9343312"/>
        <c:axId val="659343704"/>
        <c:extLst>
          <c:ext xmlns:c15="http://schemas.microsoft.com/office/drawing/2012/chart" uri="{02D57815-91ED-43cb-92C2-25804820EDAC}">
            <c15:filteredBarSeries>
              <c15:ser>
                <c:idx val="1"/>
                <c:order val="2"/>
                <c:tx>
                  <c:v>#ODKAZ!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 22 + 23 '!$K$44:$P$44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48.429664545439529</c:v>
                    </c:pt>
                    <c:pt idx="1">
                      <c:v>47.786688287494883</c:v>
                    </c:pt>
                    <c:pt idx="2">
                      <c:v>48.018210304633044</c:v>
                    </c:pt>
                    <c:pt idx="3">
                      <c:v>47.699076618538051</c:v>
                    </c:pt>
                    <c:pt idx="4">
                      <c:v>45.741595905286722</c:v>
                    </c:pt>
                    <c:pt idx="5">
                      <c:v>43.570038399392708</c:v>
                    </c:pt>
                  </c:numLit>
                </c:val>
              </c15:ser>
            </c15:filteredBarSeries>
            <c15:filteredBarSeries>
              <c15:ser>
                <c:idx val="2"/>
                <c:order val="3"/>
                <c:tx>
                  <c:v>#ODKAZ!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22 + 23 '!$K$44:$P$44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2.6429262410349352</c:v>
                    </c:pt>
                    <c:pt idx="1">
                      <c:v>2.4088898555942739</c:v>
                    </c:pt>
                    <c:pt idx="2">
                      <c:v>2.3339952728793585</c:v>
                    </c:pt>
                    <c:pt idx="3">
                      <c:v>2.2165975348427831</c:v>
                    </c:pt>
                    <c:pt idx="4">
                      <c:v>2.0851298852770812</c:v>
                    </c:pt>
                    <c:pt idx="5">
                      <c:v>1.9510357445666193</c:v>
                    </c:pt>
                  </c:numLit>
                </c:val>
              </c15:ser>
            </c15:filteredBarSeries>
            <c15:filteredBarSeries>
              <c15:ser>
                <c:idx val="4"/>
                <c:order val="5"/>
                <c:tx>
                  <c:v>#ODKAZ!</c:v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22 + 23 '!$K$44:$P$44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1.9522579118334271</c:v>
                    </c:pt>
                    <c:pt idx="1">
                      <c:v>1.8680938465954051</c:v>
                    </c:pt>
                    <c:pt idx="2">
                      <c:v>1.6851893271237994</c:v>
                    </c:pt>
                    <c:pt idx="3">
                      <c:v>1.4659619362582053</c:v>
                    </c:pt>
                    <c:pt idx="4">
                      <c:v>1.2490601644404729</c:v>
                    </c:pt>
                    <c:pt idx="5">
                      <c:v>1.0658450998594231</c:v>
                    </c:pt>
                  </c:numLit>
                </c:val>
              </c15:ser>
            </c15:filteredBarSeries>
            <c15:filteredBarSeries>
              <c15:ser>
                <c:idx val="5"/>
                <c:order val="6"/>
                <c:tx>
                  <c:v>#ODKAZ!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22 + 23 '!$K$44:$P$44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-1.0901560276103766</c:v>
                    </c:pt>
                    <c:pt idx="1">
                      <c:v>-0.9892290577345122</c:v>
                    </c:pt>
                    <c:pt idx="2">
                      <c:v>-5.2529058681955121E-2</c:v>
                    </c:pt>
                    <c:pt idx="3">
                      <c:v>-0.69690895178757728</c:v>
                    </c:pt>
                    <c:pt idx="4">
                      <c:v>-2.3519320426307999</c:v>
                    </c:pt>
                    <c:pt idx="5">
                      <c:v>-2.5358692542098993</c:v>
                    </c:pt>
                  </c:numLit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1"/>
          <c:tx>
            <c:strRef>
              <c:f>'Graf 22 + 23 '!$J$45</c:f>
              <c:strCache>
                <c:ptCount val="1"/>
                <c:pt idx="0">
                  <c:v>General government gross debt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22 + 23 '!$K$44:$P$44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'!$K$21:$P$21</c:f>
              <c:numCache>
                <c:formatCode>0.0</c:formatCode>
                <c:ptCount val="6"/>
                <c:pt idx="0">
                  <c:v>52.480982290941959</c:v>
                </c:pt>
                <c:pt idx="1">
                  <c:v>51.944515578719063</c:v>
                </c:pt>
                <c:pt idx="2">
                  <c:v>51.753576813312797</c:v>
                </c:pt>
                <c:pt idx="3">
                  <c:v>49.936921613254334</c:v>
                </c:pt>
                <c:pt idx="4">
                  <c:v>47.993310076994348</c:v>
                </c:pt>
                <c:pt idx="5">
                  <c:v>45.978313115681118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'Graf 22 + 23 '!$J$48</c:f>
              <c:strCache>
                <c:ptCount val="1"/>
                <c:pt idx="0">
                  <c:v>Net debt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22 + 23 '!$K$44:$P$44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22 + 23 '!$K$24:$P$24</c:f>
              <c:numCache>
                <c:formatCode>0.0</c:formatCode>
                <c:ptCount val="6"/>
                <c:pt idx="0">
                  <c:v>48.214345627220681</c:v>
                </c:pt>
                <c:pt idx="1">
                  <c:v>47.004140566509029</c:v>
                </c:pt>
                <c:pt idx="2">
                  <c:v>46.852281109816708</c:v>
                </c:pt>
                <c:pt idx="3">
                  <c:v>45.090520052349831</c:v>
                </c:pt>
                <c:pt idx="4">
                  <c:v>42.690731994583544</c:v>
                </c:pt>
                <c:pt idx="5">
                  <c:v>40.516251122907782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343312"/>
        <c:axId val="659343704"/>
      </c:lineChart>
      <c:catAx>
        <c:axId val="6593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343704"/>
        <c:crosses val="autoZero"/>
        <c:auto val="1"/>
        <c:lblAlgn val="ctr"/>
        <c:lblOffset val="100"/>
        <c:noMultiLvlLbl val="0"/>
      </c:catAx>
      <c:valAx>
        <c:axId val="65934370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34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252702118460866E-2"/>
          <c:y val="9.7452424800491093E-3"/>
          <c:w val="0.95579658452226546"/>
          <c:h val="0.21879450583179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C5E0B4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</c:dPt>
          <c:cat>
            <c:strRef>
              <c:f>'Graf 24'!$B$25:$B$40</c:f>
              <c:strCache>
                <c:ptCount val="16"/>
                <c:pt idx="0">
                  <c:v>Saldo VS - rozpočet</c:v>
                </c:pt>
                <c:pt idx="1">
                  <c:v>Vyššie nedaňové príjmy (P.11+P.12+P.131+D.4)</c:v>
                </c:pt>
                <c:pt idx="2">
                  <c:v>Vyššie odvody (D.61)</c:v>
                </c:pt>
                <c:pt idx="3">
                  <c:v>Ostatné bežné transfery (D.7P)</c:v>
                </c:pt>
                <c:pt idx="4">
                  <c:v>Vyššie daňové príjmy (D.2+D.5+D.91)</c:v>
                </c:pt>
                <c:pt idx="5">
                  <c:v>Subvencie (D.3P)</c:v>
                </c:pt>
                <c:pt idx="6">
                  <c:v>Kompenzácie zamestnancov (D.1P)</c:v>
                </c:pt>
                <c:pt idx="7">
                  <c:v>Vyššie kapitálové investície (P.5L=P.51G)</c:v>
                </c:pt>
                <c:pt idx="8">
                  <c:v>Vyššie výdavky na sociálne dávky (D.62P)</c:v>
                </c:pt>
                <c:pt idx="9">
                  <c:v>Medzispotreba (P.2)</c:v>
                </c:pt>
                <c:pt idx="10">
                  <c:v>Vyššie výdavky verejného zdravotného poistenia (D.632P)</c:v>
                </c:pt>
                <c:pt idx="11">
                  <c:v>Nižšie granty a transfery (D.39+D.7R+D.9R)</c:v>
                </c:pt>
                <c:pt idx="12">
                  <c:v>Vyššie kapitálové transfery (D.9P)</c:v>
                </c:pt>
                <c:pt idx="13">
                  <c:v>Vyššie na úrokové náklady (D.41P)</c:v>
                </c:pt>
                <c:pt idx="14">
                  <c:v>Vyššie štátom platené dane (D.2+D.5)</c:v>
                </c:pt>
                <c:pt idx="15">
                  <c:v>Saldo VS - skutočnosť</c:v>
                </c:pt>
              </c:strCache>
            </c:strRef>
          </c:cat>
          <c:val>
            <c:numRef>
              <c:f>'Graf 24'!$E$25:$E$40</c:f>
              <c:numCache>
                <c:formatCode>#,##0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-61.419999999998709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25.791000000001304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cat>
            <c:strRef>
              <c:f>'Graf 24'!$B$25:$B$40</c:f>
              <c:strCache>
                <c:ptCount val="16"/>
                <c:pt idx="0">
                  <c:v>Saldo VS - rozpočet</c:v>
                </c:pt>
                <c:pt idx="1">
                  <c:v>Vyššie nedaňové príjmy (P.11+P.12+P.131+D.4)</c:v>
                </c:pt>
                <c:pt idx="2">
                  <c:v>Vyššie odvody (D.61)</c:v>
                </c:pt>
                <c:pt idx="3">
                  <c:v>Ostatné bežné transfery (D.7P)</c:v>
                </c:pt>
                <c:pt idx="4">
                  <c:v>Vyššie daňové príjmy (D.2+D.5+D.91)</c:v>
                </c:pt>
                <c:pt idx="5">
                  <c:v>Subvencie (D.3P)</c:v>
                </c:pt>
                <c:pt idx="6">
                  <c:v>Kompenzácie zamestnancov (D.1P)</c:v>
                </c:pt>
                <c:pt idx="7">
                  <c:v>Vyššie kapitálové investície (P.5L=P.51G)</c:v>
                </c:pt>
                <c:pt idx="8">
                  <c:v>Vyššie výdavky na sociálne dávky (D.62P)</c:v>
                </c:pt>
                <c:pt idx="9">
                  <c:v>Medzispotreba (P.2)</c:v>
                </c:pt>
                <c:pt idx="10">
                  <c:v>Vyššie výdavky verejného zdravotného poistenia (D.632P)</c:v>
                </c:pt>
                <c:pt idx="11">
                  <c:v>Nižšie granty a transfery (D.39+D.7R+D.9R)</c:v>
                </c:pt>
                <c:pt idx="12">
                  <c:v>Vyššie kapitálové transfery (D.9P)</c:v>
                </c:pt>
                <c:pt idx="13">
                  <c:v>Vyššie na úrokové náklady (D.41P)</c:v>
                </c:pt>
                <c:pt idx="14">
                  <c:v>Vyššie štátom platené dane (D.2+D.5)</c:v>
                </c:pt>
                <c:pt idx="15">
                  <c:v>Saldo VS - skutočnosť</c:v>
                </c:pt>
              </c:strCache>
            </c:strRef>
          </c:cat>
          <c:val>
            <c:numRef>
              <c:f>'Graf 24'!$F$25:$F$40</c:f>
              <c:numCache>
                <c:formatCode>#,##0</c:formatCode>
                <c:ptCount val="16"/>
                <c:pt idx="1">
                  <c:v>-769.72400000000061</c:v>
                </c:pt>
                <c:pt idx="2">
                  <c:v>-61.419999999998709</c:v>
                </c:pt>
                <c:pt idx="3">
                  <c:v>0</c:v>
                </c:pt>
                <c:pt idx="4">
                  <c:v>512.9590000000012</c:v>
                </c:pt>
                <c:pt idx="5">
                  <c:v>871.47500000000264</c:v>
                </c:pt>
                <c:pt idx="6">
                  <c:v>565.98200000000156</c:v>
                </c:pt>
                <c:pt idx="7">
                  <c:v>25.791000000001304</c:v>
                </c:pt>
                <c:pt idx="8">
                  <c:v>0</c:v>
                </c:pt>
                <c:pt idx="9">
                  <c:v>-357.00799999999776</c:v>
                </c:pt>
                <c:pt idx="10">
                  <c:v>-683.74799999999846</c:v>
                </c:pt>
                <c:pt idx="11">
                  <c:v>-874.30799999999795</c:v>
                </c:pt>
                <c:pt idx="12">
                  <c:v>-1061.305999999998</c:v>
                </c:pt>
                <c:pt idx="13">
                  <c:v>-1246.441999999998</c:v>
                </c:pt>
                <c:pt idx="14">
                  <c:v>-1336.9939999999979</c:v>
                </c:pt>
              </c:numCache>
            </c:numRef>
          </c:val>
        </c:ser>
        <c:ser>
          <c:idx val="2"/>
          <c:order val="2"/>
          <c:spPr>
            <a:solidFill>
              <a:srgbClr val="C5E0B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C5E0B4"/>
              </a:solidFill>
              <a:ln>
                <a:noFill/>
              </a:ln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7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8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9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1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4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</c:spPr>
          </c:dPt>
          <c:dPt>
            <c:idx val="16"/>
            <c:invertIfNegative val="0"/>
            <c:bubble3D val="0"/>
            <c:spPr>
              <a:solidFill>
                <a:srgbClr val="F8CBAD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AFD8C99-87E4-4225-8ACD-2E32F0662201}" type="VALUE">
                      <a:rPr lang="en-US"/>
                      <a:pPr/>
                      <a:t>[HODNOTA]</a:t>
                    </a:fld>
                    <a:r>
                      <a:rPr lang="en-US" baseline="0"/>
                      <a:t> (-1,93 %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787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574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-542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-540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-383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42DBA082-A93B-44CC-BA62-6748226FC04F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-191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8548827378186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8548827378186733E-3"/>
                  <c:y val="-1.318261627775817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8548827378186052E-3"/>
                  <c:y val="0"/>
                </c:manualLayout>
              </c:layout>
              <c:tx>
                <c:rich>
                  <a:bodyPr/>
                  <a:lstStyle/>
                  <a:p>
                    <a:fld id="{4C68409E-3DF3-411B-A5CA-6499084AE23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(-1,68 %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6"/>
              <c:layout>
                <c:manualLayout>
                  <c:x val="3.6883484925908485E-3"/>
                  <c:y val="-1.3237241993254308E-16"/>
                </c:manualLayout>
              </c:layout>
              <c:tx>
                <c:rich>
                  <a:bodyPr/>
                  <a:lstStyle/>
                  <a:p>
                    <a:fld id="{063FC06B-A165-42FC-91C8-8FE510AC4AB4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AA120F0-2B5B-4A72-9AD0-6DFCA397125C}" type="VALUE">
                      <a:rPr lang="en-US" sz="1000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</a:rPr>
                      <a:t>(-1,68 %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24'!$B$25:$B$40</c:f>
              <c:strCache>
                <c:ptCount val="16"/>
                <c:pt idx="0">
                  <c:v>Saldo VS - rozpočet</c:v>
                </c:pt>
                <c:pt idx="1">
                  <c:v>Vyššie nedaňové príjmy (P.11+P.12+P.131+D.4)</c:v>
                </c:pt>
                <c:pt idx="2">
                  <c:v>Vyššie odvody (D.61)</c:v>
                </c:pt>
                <c:pt idx="3">
                  <c:v>Ostatné bežné transfery (D.7P)</c:v>
                </c:pt>
                <c:pt idx="4">
                  <c:v>Vyššie daňové príjmy (D.2+D.5+D.91)</c:v>
                </c:pt>
                <c:pt idx="5">
                  <c:v>Subvencie (D.3P)</c:v>
                </c:pt>
                <c:pt idx="6">
                  <c:v>Kompenzácie zamestnancov (D.1P)</c:v>
                </c:pt>
                <c:pt idx="7">
                  <c:v>Vyššie kapitálové investície (P.5L=P.51G)</c:v>
                </c:pt>
                <c:pt idx="8">
                  <c:v>Vyššie výdavky na sociálne dávky (D.62P)</c:v>
                </c:pt>
                <c:pt idx="9">
                  <c:v>Medzispotreba (P.2)</c:v>
                </c:pt>
                <c:pt idx="10">
                  <c:v>Vyššie výdavky verejného zdravotného poistenia (D.632P)</c:v>
                </c:pt>
                <c:pt idx="11">
                  <c:v>Nižšie granty a transfery (D.39+D.7R+D.9R)</c:v>
                </c:pt>
                <c:pt idx="12">
                  <c:v>Vyššie kapitálové transfery (D.9P)</c:v>
                </c:pt>
                <c:pt idx="13">
                  <c:v>Vyššie na úrokové náklady (D.41P)</c:v>
                </c:pt>
                <c:pt idx="14">
                  <c:v>Vyššie štátom platené dane (D.2+D.5)</c:v>
                </c:pt>
                <c:pt idx="15">
                  <c:v>Saldo VS - skutočnosť</c:v>
                </c:pt>
              </c:strCache>
            </c:strRef>
          </c:cat>
          <c:val>
            <c:numRef>
              <c:f>'Graf 24'!$G$25:$G$40</c:f>
              <c:numCache>
                <c:formatCode>#,##0</c:formatCode>
                <c:ptCount val="16"/>
                <c:pt idx="0">
                  <c:v>-1556.5030000000006</c:v>
                </c:pt>
                <c:pt idx="1">
                  <c:v>-786.779</c:v>
                </c:pt>
                <c:pt idx="2">
                  <c:v>-708.30400000000191</c:v>
                </c:pt>
                <c:pt idx="3">
                  <c:v>512.9590000000012</c:v>
                </c:pt>
                <c:pt idx="4">
                  <c:v>358.51600000000144</c:v>
                </c:pt>
                <c:pt idx="5">
                  <c:v>236.07</c:v>
                </c:pt>
                <c:pt idx="6">
                  <c:v>541.56300000000101</c:v>
                </c:pt>
                <c:pt idx="7">
                  <c:v>540.19100000000026</c:v>
                </c:pt>
                <c:pt idx="8">
                  <c:v>-357.00799999999776</c:v>
                </c:pt>
                <c:pt idx="9">
                  <c:v>-326.74000000000069</c:v>
                </c:pt>
                <c:pt idx="10">
                  <c:v>-190.55999999999949</c:v>
                </c:pt>
                <c:pt idx="11">
                  <c:v>-186.99800000000005</c:v>
                </c:pt>
                <c:pt idx="12">
                  <c:v>-185.13600000000002</c:v>
                </c:pt>
                <c:pt idx="13">
                  <c:v>-90.551999999999907</c:v>
                </c:pt>
                <c:pt idx="14">
                  <c:v>-24.542999999999999</c:v>
                </c:pt>
                <c:pt idx="15">
                  <c:v>-1361.5369999999966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2916016"/>
        <c:axId val="422916408"/>
      </c:barChart>
      <c:catAx>
        <c:axId val="4229160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422916408"/>
        <c:crosses val="autoZero"/>
        <c:auto val="1"/>
        <c:lblAlgn val="ctr"/>
        <c:lblOffset val="100"/>
        <c:noMultiLvlLbl val="0"/>
      </c:catAx>
      <c:valAx>
        <c:axId val="422916408"/>
        <c:scaling>
          <c:orientation val="minMax"/>
          <c:max val="1200"/>
          <c:min val="-18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422916016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C5E0B4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</c:dPt>
          <c:cat>
            <c:strRef>
              <c:f>'Graf 24'!$K$25:$K$40</c:f>
              <c:strCache>
                <c:ptCount val="16"/>
                <c:pt idx="0">
                  <c:v>Headline balance - Final</c:v>
                </c:pt>
                <c:pt idx="1">
                  <c:v>Higher nontax revenues (P.11+P.12+P.131+D.4)</c:v>
                </c:pt>
                <c:pt idx="2">
                  <c:v>Higher social contributions (D.61)</c:v>
                </c:pt>
                <c:pt idx="3">
                  <c:v>Higher current transfers (D.7P)</c:v>
                </c:pt>
                <c:pt idx="4">
                  <c:v>Higher tax revenue (D.2+D.5+D.91)</c:v>
                </c:pt>
                <c:pt idx="5">
                  <c:v>Subsidies (D.3P)</c:v>
                </c:pt>
                <c:pt idx="6">
                  <c:v>Higher compensations (D.1P)</c:v>
                </c:pt>
                <c:pt idx="7">
                  <c:v>Higher capital investments (P.5L=P.51G)</c:v>
                </c:pt>
                <c:pt idx="8">
                  <c:v>Higier social benefits expenditure (D.62P)</c:v>
                </c:pt>
                <c:pt idx="9">
                  <c:v>Higher intermediate consumption (P.2)</c:v>
                </c:pt>
                <c:pt idx="10">
                  <c:v>Higher expenditures on healthcare (D.632P)</c:v>
                </c:pt>
                <c:pt idx="11">
                  <c:v>Lower grants and transfers (D.39+D.7R+D.9R)</c:v>
                </c:pt>
                <c:pt idx="12">
                  <c:v>Lower capital transfers (D.9P)</c:v>
                </c:pt>
                <c:pt idx="13">
                  <c:v>Savings on interest (D.41P)</c:v>
                </c:pt>
                <c:pt idx="14">
                  <c:v>Higher taxes -paid by government (D.2+D.5)</c:v>
                </c:pt>
                <c:pt idx="15">
                  <c:v>Expected headline balance</c:v>
                </c:pt>
              </c:strCache>
            </c:strRef>
          </c:cat>
          <c:val>
            <c:numRef>
              <c:f>'Graf 24'!$N$25:$N$40</c:f>
              <c:numCache>
                <c:formatCode>#,##0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-61.419999999998709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25.791000000001304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cat>
            <c:strRef>
              <c:f>'Graf 24'!$K$25:$K$40</c:f>
              <c:strCache>
                <c:ptCount val="16"/>
                <c:pt idx="0">
                  <c:v>Headline balance - Final</c:v>
                </c:pt>
                <c:pt idx="1">
                  <c:v>Higher nontax revenues (P.11+P.12+P.131+D.4)</c:v>
                </c:pt>
                <c:pt idx="2">
                  <c:v>Higher social contributions (D.61)</c:v>
                </c:pt>
                <c:pt idx="3">
                  <c:v>Higher current transfers (D.7P)</c:v>
                </c:pt>
                <c:pt idx="4">
                  <c:v>Higher tax revenue (D.2+D.5+D.91)</c:v>
                </c:pt>
                <c:pt idx="5">
                  <c:v>Subsidies (D.3P)</c:v>
                </c:pt>
                <c:pt idx="6">
                  <c:v>Higher compensations (D.1P)</c:v>
                </c:pt>
                <c:pt idx="7">
                  <c:v>Higher capital investments (P.5L=P.51G)</c:v>
                </c:pt>
                <c:pt idx="8">
                  <c:v>Higier social benefits expenditure (D.62P)</c:v>
                </c:pt>
                <c:pt idx="9">
                  <c:v>Higher intermediate consumption (P.2)</c:v>
                </c:pt>
                <c:pt idx="10">
                  <c:v>Higher expenditures on healthcare (D.632P)</c:v>
                </c:pt>
                <c:pt idx="11">
                  <c:v>Lower grants and transfers (D.39+D.7R+D.9R)</c:v>
                </c:pt>
                <c:pt idx="12">
                  <c:v>Lower capital transfers (D.9P)</c:v>
                </c:pt>
                <c:pt idx="13">
                  <c:v>Savings on interest (D.41P)</c:v>
                </c:pt>
                <c:pt idx="14">
                  <c:v>Higher taxes -paid by government (D.2+D.5)</c:v>
                </c:pt>
                <c:pt idx="15">
                  <c:v>Expected headline balance</c:v>
                </c:pt>
              </c:strCache>
            </c:strRef>
          </c:cat>
          <c:val>
            <c:numRef>
              <c:f>'Graf 24'!$O$25:$O$40</c:f>
              <c:numCache>
                <c:formatCode>#,##0</c:formatCode>
                <c:ptCount val="16"/>
                <c:pt idx="1">
                  <c:v>-769.72400000000061</c:v>
                </c:pt>
                <c:pt idx="2">
                  <c:v>-61.419999999998709</c:v>
                </c:pt>
                <c:pt idx="3">
                  <c:v>0</c:v>
                </c:pt>
                <c:pt idx="4">
                  <c:v>512.9590000000012</c:v>
                </c:pt>
                <c:pt idx="5">
                  <c:v>871.47500000000264</c:v>
                </c:pt>
                <c:pt idx="6">
                  <c:v>565.98200000000156</c:v>
                </c:pt>
                <c:pt idx="7">
                  <c:v>25.791000000001304</c:v>
                </c:pt>
                <c:pt idx="8">
                  <c:v>0</c:v>
                </c:pt>
                <c:pt idx="9">
                  <c:v>-357.00799999999776</c:v>
                </c:pt>
                <c:pt idx="10">
                  <c:v>-683.74799999999846</c:v>
                </c:pt>
                <c:pt idx="11">
                  <c:v>-874.30799999999795</c:v>
                </c:pt>
                <c:pt idx="12">
                  <c:v>-1061.305999999998</c:v>
                </c:pt>
                <c:pt idx="13">
                  <c:v>-1246.441999999998</c:v>
                </c:pt>
                <c:pt idx="14">
                  <c:v>-1336.9939999999979</c:v>
                </c:pt>
              </c:numCache>
            </c:numRef>
          </c:val>
        </c:ser>
        <c:ser>
          <c:idx val="2"/>
          <c:order val="2"/>
          <c:spPr>
            <a:solidFill>
              <a:srgbClr val="C5E0B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C5E0B4"/>
              </a:solidFill>
              <a:ln>
                <a:noFill/>
              </a:ln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7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8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9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1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8CBAD"/>
              </a:solidFill>
            </c:spPr>
          </c:dPt>
          <c:dPt>
            <c:idx val="14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</c:spPr>
          </c:dPt>
          <c:dPt>
            <c:idx val="16"/>
            <c:invertIfNegative val="0"/>
            <c:bubble3D val="0"/>
            <c:spPr>
              <a:solidFill>
                <a:srgbClr val="F8CBAD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AFD8C99-87E4-4225-8ACD-2E32F0662201}" type="VALUE">
                      <a:rPr lang="en-US"/>
                      <a:pPr/>
                      <a:t>[HODNOTA]</a:t>
                    </a:fld>
                    <a:r>
                      <a:rPr lang="en-US" baseline="0"/>
                      <a:t> (-1,93 % of GDP)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787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574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-542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-540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-383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42DBA082-A93B-44CC-BA62-6748226FC04F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-191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8548827378186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8548827378186733E-3"/>
                  <c:y val="-1.318261627775817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8548827378186052E-3"/>
                  <c:y val="0"/>
                </c:manualLayout>
              </c:layout>
              <c:tx>
                <c:rich>
                  <a:bodyPr/>
                  <a:lstStyle/>
                  <a:p>
                    <a:fld id="{4C68409E-3DF3-411B-A5CA-6499084AE23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(-1,68 % </a:t>
                    </a:r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</a:rPr>
                      <a:t>of GDP)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6"/>
              <c:layout>
                <c:manualLayout>
                  <c:x val="3.6883484925908485E-3"/>
                  <c:y val="-1.3237241993254308E-16"/>
                </c:manualLayout>
              </c:layout>
              <c:tx>
                <c:rich>
                  <a:bodyPr/>
                  <a:lstStyle/>
                  <a:p>
                    <a:fld id="{063FC06B-A165-42FC-91C8-8FE510AC4AB4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AA120F0-2B5B-4A72-9AD0-6DFCA397125C}" type="VALUE">
                      <a:rPr lang="en-US" sz="1000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</a:rPr>
                      <a:t>(-1,68 %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24'!$K$25:$K$40</c:f>
              <c:strCache>
                <c:ptCount val="16"/>
                <c:pt idx="0">
                  <c:v>Headline balance - Final</c:v>
                </c:pt>
                <c:pt idx="1">
                  <c:v>Higher nontax revenues (P.11+P.12+P.131+D.4)</c:v>
                </c:pt>
                <c:pt idx="2">
                  <c:v>Higher social contributions (D.61)</c:v>
                </c:pt>
                <c:pt idx="3">
                  <c:v>Higher current transfers (D.7P)</c:v>
                </c:pt>
                <c:pt idx="4">
                  <c:v>Higher tax revenue (D.2+D.5+D.91)</c:v>
                </c:pt>
                <c:pt idx="5">
                  <c:v>Subsidies (D.3P)</c:v>
                </c:pt>
                <c:pt idx="6">
                  <c:v>Higher compensations (D.1P)</c:v>
                </c:pt>
                <c:pt idx="7">
                  <c:v>Higher capital investments (P.5L=P.51G)</c:v>
                </c:pt>
                <c:pt idx="8">
                  <c:v>Higier social benefits expenditure (D.62P)</c:v>
                </c:pt>
                <c:pt idx="9">
                  <c:v>Higher intermediate consumption (P.2)</c:v>
                </c:pt>
                <c:pt idx="10">
                  <c:v>Higher expenditures on healthcare (D.632P)</c:v>
                </c:pt>
                <c:pt idx="11">
                  <c:v>Lower grants and transfers (D.39+D.7R+D.9R)</c:v>
                </c:pt>
                <c:pt idx="12">
                  <c:v>Lower capital transfers (D.9P)</c:v>
                </c:pt>
                <c:pt idx="13">
                  <c:v>Savings on interest (D.41P)</c:v>
                </c:pt>
                <c:pt idx="14">
                  <c:v>Higher taxes -paid by government (D.2+D.5)</c:v>
                </c:pt>
                <c:pt idx="15">
                  <c:v>Expected headline balance</c:v>
                </c:pt>
              </c:strCache>
            </c:strRef>
          </c:cat>
          <c:val>
            <c:numRef>
              <c:f>'Graf 24'!$P$25:$P$40</c:f>
              <c:numCache>
                <c:formatCode>#,##0</c:formatCode>
                <c:ptCount val="16"/>
                <c:pt idx="0">
                  <c:v>-1556.5030000000006</c:v>
                </c:pt>
                <c:pt idx="1">
                  <c:v>-786.779</c:v>
                </c:pt>
                <c:pt idx="2">
                  <c:v>-708.30400000000191</c:v>
                </c:pt>
                <c:pt idx="3">
                  <c:v>512.9590000000012</c:v>
                </c:pt>
                <c:pt idx="4">
                  <c:v>358.51600000000144</c:v>
                </c:pt>
                <c:pt idx="5">
                  <c:v>236.07</c:v>
                </c:pt>
                <c:pt idx="6">
                  <c:v>541.56300000000101</c:v>
                </c:pt>
                <c:pt idx="7">
                  <c:v>540.19100000000026</c:v>
                </c:pt>
                <c:pt idx="8">
                  <c:v>-357.00799999999776</c:v>
                </c:pt>
                <c:pt idx="9">
                  <c:v>-326.74000000000069</c:v>
                </c:pt>
                <c:pt idx="10">
                  <c:v>-190.55999999999949</c:v>
                </c:pt>
                <c:pt idx="11">
                  <c:v>-186.99800000000005</c:v>
                </c:pt>
                <c:pt idx="12">
                  <c:v>-185.13600000000002</c:v>
                </c:pt>
                <c:pt idx="13">
                  <c:v>-90.551999999999907</c:v>
                </c:pt>
                <c:pt idx="14">
                  <c:v>-24.542999999999999</c:v>
                </c:pt>
                <c:pt idx="15">
                  <c:v>-1361.5369999999966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2917192"/>
        <c:axId val="422917584"/>
      </c:barChart>
      <c:catAx>
        <c:axId val="422917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422917584"/>
        <c:crosses val="autoZero"/>
        <c:auto val="1"/>
        <c:lblAlgn val="ctr"/>
        <c:lblOffset val="100"/>
        <c:noMultiLvlLbl val="0"/>
      </c:catAx>
      <c:valAx>
        <c:axId val="422917584"/>
        <c:scaling>
          <c:orientation val="minMax"/>
          <c:max val="1200"/>
          <c:min val="-18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422917192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70331135969799E-2"/>
          <c:y val="5.1400756493756007E-2"/>
          <c:w val="0.87073370351471469"/>
          <c:h val="0.76573470477047967"/>
        </c:manualLayout>
      </c:layout>
      <c:lineChart>
        <c:grouping val="standard"/>
        <c:varyColors val="0"/>
        <c:ser>
          <c:idx val="0"/>
          <c:order val="0"/>
          <c:tx>
            <c:strRef>
              <c:f>'Graf 5+6'!$H$2</c:f>
              <c:strCache>
                <c:ptCount val="1"/>
                <c:pt idx="0">
                  <c:v>Slovensko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5+6'!$I$2:$AT$2</c:f>
              <c:numCache>
                <c:formatCode>#\ ##0.0</c:formatCode>
                <c:ptCount val="38"/>
                <c:pt idx="0">
                  <c:v>2.5230000000000001</c:v>
                </c:pt>
                <c:pt idx="1">
                  <c:v>2.258</c:v>
                </c:pt>
                <c:pt idx="2">
                  <c:v>2.1739999999999999</c:v>
                </c:pt>
                <c:pt idx="3">
                  <c:v>2.375</c:v>
                </c:pt>
                <c:pt idx="4">
                  <c:v>2.2370000000000001</c:v>
                </c:pt>
                <c:pt idx="5">
                  <c:v>2.0880000000000001</c:v>
                </c:pt>
                <c:pt idx="6">
                  <c:v>1.9750000000000001</c:v>
                </c:pt>
                <c:pt idx="7">
                  <c:v>1.716</c:v>
                </c:pt>
                <c:pt idx="8">
                  <c:v>1.53</c:v>
                </c:pt>
                <c:pt idx="9">
                  <c:v>1.47</c:v>
                </c:pt>
                <c:pt idx="10">
                  <c:v>1.3679999999999999</c:v>
                </c:pt>
                <c:pt idx="11">
                  <c:v>1.167</c:v>
                </c:pt>
                <c:pt idx="12">
                  <c:v>0.77500000000000002</c:v>
                </c:pt>
                <c:pt idx="13">
                  <c:v>0.8</c:v>
                </c:pt>
                <c:pt idx="14">
                  <c:v>0.51200000000000001</c:v>
                </c:pt>
                <c:pt idx="15">
                  <c:v>0.54900000000000004</c:v>
                </c:pt>
                <c:pt idx="16">
                  <c:v>0.82</c:v>
                </c:pt>
                <c:pt idx="17">
                  <c:v>1.383</c:v>
                </c:pt>
                <c:pt idx="18">
                  <c:v>0.97399999999999998</c:v>
                </c:pt>
                <c:pt idx="19">
                  <c:v>1.1120000000000001</c:v>
                </c:pt>
                <c:pt idx="20">
                  <c:v>0.82699999999999996</c:v>
                </c:pt>
                <c:pt idx="21">
                  <c:v>0.77300000000000002</c:v>
                </c:pt>
                <c:pt idx="22">
                  <c:v>0.65900000000000003</c:v>
                </c:pt>
                <c:pt idx="23">
                  <c:v>0.78400000000000003</c:v>
                </c:pt>
                <c:pt idx="24">
                  <c:v>0.629</c:v>
                </c:pt>
                <c:pt idx="25">
                  <c:v>0.41</c:v>
                </c:pt>
                <c:pt idx="26">
                  <c:v>0.39900000000000002</c:v>
                </c:pt>
                <c:pt idx="27">
                  <c:v>0.52300000000000002</c:v>
                </c:pt>
                <c:pt idx="28">
                  <c:v>0.88800000000000001</c:v>
                </c:pt>
                <c:pt idx="29">
                  <c:v>0.63700000000000001</c:v>
                </c:pt>
                <c:pt idx="30">
                  <c:v>0.33200000000000002</c:v>
                </c:pt>
                <c:pt idx="31">
                  <c:v>0.30499999999999999</c:v>
                </c:pt>
                <c:pt idx="32">
                  <c:v>0.30399999999999999</c:v>
                </c:pt>
                <c:pt idx="33">
                  <c:v>0.57999999999999996</c:v>
                </c:pt>
                <c:pt idx="34">
                  <c:v>1.0329999999999999</c:v>
                </c:pt>
                <c:pt idx="35">
                  <c:v>0.94399999999999995</c:v>
                </c:pt>
                <c:pt idx="36">
                  <c:v>1.1080000000000001</c:v>
                </c:pt>
                <c:pt idx="37">
                  <c:v>1.044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5+6'!$H$5</c:f>
              <c:strCache>
                <c:ptCount val="1"/>
                <c:pt idx="0">
                  <c:v>Česká Republika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5+6'!$I$5:$AT$5</c:f>
              <c:numCache>
                <c:formatCode>#\ ##0.0</c:formatCode>
                <c:ptCount val="38"/>
                <c:pt idx="0">
                  <c:v>2.2959999999999998</c:v>
                </c:pt>
                <c:pt idx="1">
                  <c:v>2.206</c:v>
                </c:pt>
                <c:pt idx="2">
                  <c:v>2.125</c:v>
                </c:pt>
                <c:pt idx="3">
                  <c:v>1.861</c:v>
                </c:pt>
                <c:pt idx="4">
                  <c:v>1.6579999999999999</c:v>
                </c:pt>
                <c:pt idx="5">
                  <c:v>1.464</c:v>
                </c:pt>
                <c:pt idx="6">
                  <c:v>1.4570000000000001</c:v>
                </c:pt>
                <c:pt idx="7">
                  <c:v>1.21</c:v>
                </c:pt>
                <c:pt idx="8">
                  <c:v>1.175</c:v>
                </c:pt>
                <c:pt idx="9">
                  <c:v>0.92200000000000004</c:v>
                </c:pt>
                <c:pt idx="10">
                  <c:v>0.74099999999999999</c:v>
                </c:pt>
                <c:pt idx="11">
                  <c:v>0.73899999999999999</c:v>
                </c:pt>
                <c:pt idx="12">
                  <c:v>0.377</c:v>
                </c:pt>
                <c:pt idx="13">
                  <c:v>0.629</c:v>
                </c:pt>
                <c:pt idx="14">
                  <c:v>0.46</c:v>
                </c:pt>
                <c:pt idx="15">
                  <c:v>0.55800000000000005</c:v>
                </c:pt>
                <c:pt idx="16">
                  <c:v>0.82</c:v>
                </c:pt>
                <c:pt idx="17">
                  <c:v>1.258</c:v>
                </c:pt>
                <c:pt idx="18">
                  <c:v>0.90100000000000002</c:v>
                </c:pt>
                <c:pt idx="19">
                  <c:v>0.88</c:v>
                </c:pt>
                <c:pt idx="20">
                  <c:v>0.66</c:v>
                </c:pt>
                <c:pt idx="21">
                  <c:v>0.501</c:v>
                </c:pt>
                <c:pt idx="22">
                  <c:v>0.44700000000000001</c:v>
                </c:pt>
                <c:pt idx="23">
                  <c:v>0.52900000000000003</c:v>
                </c:pt>
                <c:pt idx="24">
                  <c:v>0.61199999999999999</c:v>
                </c:pt>
                <c:pt idx="25">
                  <c:v>0.33200000000000002</c:v>
                </c:pt>
                <c:pt idx="26">
                  <c:v>0.40699999999999997</c:v>
                </c:pt>
                <c:pt idx="27">
                  <c:v>0.48899999999999999</c:v>
                </c:pt>
                <c:pt idx="28">
                  <c:v>0.55000000000000004</c:v>
                </c:pt>
                <c:pt idx="29">
                  <c:v>0.45200000000000001</c:v>
                </c:pt>
                <c:pt idx="30">
                  <c:v>0.35299999999999998</c:v>
                </c:pt>
                <c:pt idx="31">
                  <c:v>0.27300000000000002</c:v>
                </c:pt>
                <c:pt idx="32">
                  <c:v>0.26400000000000001</c:v>
                </c:pt>
                <c:pt idx="33">
                  <c:v>0.48099999999999998</c:v>
                </c:pt>
                <c:pt idx="34">
                  <c:v>0.54900000000000004</c:v>
                </c:pt>
                <c:pt idx="35">
                  <c:v>0.434</c:v>
                </c:pt>
                <c:pt idx="36">
                  <c:v>0.439</c:v>
                </c:pt>
                <c:pt idx="37">
                  <c:v>0.61299999999999999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5+6'!$H$6</c:f>
              <c:strCache>
                <c:ptCount val="1"/>
                <c:pt idx="0">
                  <c:v>Poľsko</c:v>
                </c:pt>
              </c:strCache>
            </c:strRef>
          </c:tx>
          <c:spPr>
            <a:ln w="19050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5+6'!$I$6:$AT$6</c:f>
              <c:numCache>
                <c:formatCode>#\ ##0.0</c:formatCode>
                <c:ptCount val="38"/>
                <c:pt idx="0">
                  <c:v>2.9140000000000001</c:v>
                </c:pt>
                <c:pt idx="1">
                  <c:v>2.6520000000000001</c:v>
                </c:pt>
                <c:pt idx="2">
                  <c:v>2.601</c:v>
                </c:pt>
                <c:pt idx="3">
                  <c:v>2.4359999999999999</c:v>
                </c:pt>
                <c:pt idx="4">
                  <c:v>2.2149999999999999</c:v>
                </c:pt>
                <c:pt idx="5">
                  <c:v>2.121</c:v>
                </c:pt>
                <c:pt idx="6">
                  <c:v>1.948</c:v>
                </c:pt>
                <c:pt idx="7">
                  <c:v>1.702</c:v>
                </c:pt>
                <c:pt idx="8">
                  <c:v>1.71</c:v>
                </c:pt>
                <c:pt idx="9">
                  <c:v>1.494</c:v>
                </c:pt>
                <c:pt idx="10">
                  <c:v>1.343</c:v>
                </c:pt>
                <c:pt idx="11">
                  <c:v>1.264</c:v>
                </c:pt>
                <c:pt idx="12">
                  <c:v>0.96599999999999997</c:v>
                </c:pt>
                <c:pt idx="13">
                  <c:v>0.69799999999999995</c:v>
                </c:pt>
                <c:pt idx="14">
                  <c:v>0.67900000000000005</c:v>
                </c:pt>
                <c:pt idx="15">
                  <c:v>0.78700000000000003</c:v>
                </c:pt>
                <c:pt idx="16">
                  <c:v>1.266</c:v>
                </c:pt>
                <c:pt idx="17">
                  <c:v>1.8319999999999999</c:v>
                </c:pt>
                <c:pt idx="18">
                  <c:v>1.4729999999999999</c:v>
                </c:pt>
                <c:pt idx="19">
                  <c:v>1.399</c:v>
                </c:pt>
                <c:pt idx="20">
                  <c:v>1.399</c:v>
                </c:pt>
                <c:pt idx="21">
                  <c:v>1.343</c:v>
                </c:pt>
                <c:pt idx="22">
                  <c:v>1.2070000000000001</c:v>
                </c:pt>
                <c:pt idx="23">
                  <c:v>1.2190000000000001</c:v>
                </c:pt>
                <c:pt idx="24">
                  <c:v>1.5550000000000002</c:v>
                </c:pt>
                <c:pt idx="25">
                  <c:v>1.2589999999999999</c:v>
                </c:pt>
                <c:pt idx="26">
                  <c:v>1.252</c:v>
                </c:pt>
                <c:pt idx="27">
                  <c:v>1.252</c:v>
                </c:pt>
                <c:pt idx="28">
                  <c:v>1.2210000000000001</c:v>
                </c:pt>
                <c:pt idx="29">
                  <c:v>1.1419999999999999</c:v>
                </c:pt>
                <c:pt idx="30">
                  <c:v>0.73099999999999998</c:v>
                </c:pt>
                <c:pt idx="31">
                  <c:v>0.58799999999999997</c:v>
                </c:pt>
                <c:pt idx="32">
                  <c:v>0.57599999999999996</c:v>
                </c:pt>
                <c:pt idx="33">
                  <c:v>0.70899999999999996</c:v>
                </c:pt>
                <c:pt idx="34">
                  <c:v>1.3220000000000001</c:v>
                </c:pt>
                <c:pt idx="35">
                  <c:v>1.2770000000000001</c:v>
                </c:pt>
                <c:pt idx="36">
                  <c:v>1.3420000000000001</c:v>
                </c:pt>
                <c:pt idx="37">
                  <c:v>1.2789999999999999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'Graf 5+6'!$H$3</c:f>
              <c:strCache>
                <c:ptCount val="1"/>
                <c:pt idx="0">
                  <c:v>Nemecko</c:v>
                </c:pt>
              </c:strCache>
            </c:strRef>
          </c:tx>
          <c:spPr>
            <a:ln w="19050">
              <a:solidFill>
                <a:srgbClr val="555555"/>
              </a:solidFill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5+6'!$I$3:$AT$3</c:f>
              <c:numCache>
                <c:formatCode>#\ ##0.0</c:formatCode>
                <c:ptCount val="38"/>
                <c:pt idx="0">
                  <c:v>1.659</c:v>
                </c:pt>
                <c:pt idx="1">
                  <c:v>1.6240000000000001</c:v>
                </c:pt>
                <c:pt idx="2">
                  <c:v>1.5659999999999998</c:v>
                </c:pt>
                <c:pt idx="3">
                  <c:v>1.4689999999999999</c:v>
                </c:pt>
                <c:pt idx="4">
                  <c:v>1.3580000000000001</c:v>
                </c:pt>
                <c:pt idx="5">
                  <c:v>1.2450000000000001</c:v>
                </c:pt>
                <c:pt idx="6">
                  <c:v>1.155</c:v>
                </c:pt>
                <c:pt idx="7">
                  <c:v>0.89</c:v>
                </c:pt>
                <c:pt idx="8">
                  <c:v>0.94699999999999995</c:v>
                </c:pt>
                <c:pt idx="9">
                  <c:v>0.84099999999999997</c:v>
                </c:pt>
                <c:pt idx="10">
                  <c:v>0.7</c:v>
                </c:pt>
                <c:pt idx="11">
                  <c:v>0.54100000000000004</c:v>
                </c:pt>
                <c:pt idx="12">
                  <c:v>0.30199999999999999</c:v>
                </c:pt>
                <c:pt idx="13">
                  <c:v>0.32800000000000001</c:v>
                </c:pt>
                <c:pt idx="14">
                  <c:v>0.18</c:v>
                </c:pt>
                <c:pt idx="15">
                  <c:v>0.36599999999999999</c:v>
                </c:pt>
                <c:pt idx="16">
                  <c:v>0.48699999999999999</c:v>
                </c:pt>
                <c:pt idx="17">
                  <c:v>0.76400000000000001</c:v>
                </c:pt>
                <c:pt idx="18">
                  <c:v>0.64400000000000002</c:v>
                </c:pt>
                <c:pt idx="19">
                  <c:v>0.79800000000000004</c:v>
                </c:pt>
                <c:pt idx="20">
                  <c:v>0.58699999999999997</c:v>
                </c:pt>
                <c:pt idx="21">
                  <c:v>0.51700000000000002</c:v>
                </c:pt>
                <c:pt idx="22">
                  <c:v>0.47299999999999998</c:v>
                </c:pt>
                <c:pt idx="23">
                  <c:v>0.629</c:v>
                </c:pt>
                <c:pt idx="24">
                  <c:v>0.32500000000000001</c:v>
                </c:pt>
                <c:pt idx="25">
                  <c:v>0.107</c:v>
                </c:pt>
                <c:pt idx="26">
                  <c:v>0.153</c:v>
                </c:pt>
                <c:pt idx="27">
                  <c:v>0.27100000000000002</c:v>
                </c:pt>
                <c:pt idx="28">
                  <c:v>0.13900000000000001</c:v>
                </c:pt>
                <c:pt idx="29">
                  <c:v>-0.13</c:v>
                </c:pt>
                <c:pt idx="30">
                  <c:v>-0.11899999999999999</c:v>
                </c:pt>
                <c:pt idx="31">
                  <c:v>-6.5000000000000002E-2</c:v>
                </c:pt>
                <c:pt idx="32">
                  <c:v>-0.11899999999999999</c:v>
                </c:pt>
                <c:pt idx="33">
                  <c:v>0.16300000000000001</c:v>
                </c:pt>
                <c:pt idx="34">
                  <c:v>0.27500000000000002</c:v>
                </c:pt>
                <c:pt idx="35">
                  <c:v>0.20799999999999999</c:v>
                </c:pt>
                <c:pt idx="36">
                  <c:v>0.436</c:v>
                </c:pt>
                <c:pt idx="37">
                  <c:v>0.20799999999999999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'Graf 5+6'!$H$4</c:f>
              <c:strCache>
                <c:ptCount val="1"/>
                <c:pt idx="0">
                  <c:v>Španielsko</c:v>
                </c:pt>
              </c:strCache>
            </c:strRef>
          </c:tx>
          <c:spPr>
            <a:ln w="19050">
              <a:solidFill>
                <a:srgbClr val="9E9E9E"/>
              </a:solidFill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5+6'!$I$4:$AT$4</c:f>
              <c:numCache>
                <c:formatCode>#\ ##0.0</c:formatCode>
                <c:ptCount val="38"/>
                <c:pt idx="0">
                  <c:v>3.6589999999999998</c:v>
                </c:pt>
                <c:pt idx="1">
                  <c:v>3.5089999999999999</c:v>
                </c:pt>
                <c:pt idx="2">
                  <c:v>3.23</c:v>
                </c:pt>
                <c:pt idx="3">
                  <c:v>3.0150000000000001</c:v>
                </c:pt>
                <c:pt idx="4">
                  <c:v>2.8540000000000001</c:v>
                </c:pt>
                <c:pt idx="5">
                  <c:v>2.661</c:v>
                </c:pt>
                <c:pt idx="6">
                  <c:v>2.5049999999999999</c:v>
                </c:pt>
                <c:pt idx="7">
                  <c:v>2.2290000000000001</c:v>
                </c:pt>
                <c:pt idx="8">
                  <c:v>2.14</c:v>
                </c:pt>
                <c:pt idx="9">
                  <c:v>2.0760000000000001</c:v>
                </c:pt>
                <c:pt idx="10">
                  <c:v>1.895</c:v>
                </c:pt>
                <c:pt idx="11">
                  <c:v>1.611</c:v>
                </c:pt>
                <c:pt idx="12">
                  <c:v>1.423</c:v>
                </c:pt>
                <c:pt idx="13">
                  <c:v>1.26</c:v>
                </c:pt>
                <c:pt idx="14">
                  <c:v>1.212</c:v>
                </c:pt>
                <c:pt idx="15">
                  <c:v>1.468</c:v>
                </c:pt>
                <c:pt idx="16">
                  <c:v>1.8380000000000001</c:v>
                </c:pt>
                <c:pt idx="17">
                  <c:v>2.3010000000000002</c:v>
                </c:pt>
                <c:pt idx="18">
                  <c:v>1.8420000000000001</c:v>
                </c:pt>
                <c:pt idx="19">
                  <c:v>2.109</c:v>
                </c:pt>
                <c:pt idx="20">
                  <c:v>1.8919999999999999</c:v>
                </c:pt>
                <c:pt idx="21">
                  <c:v>1.6720000000000002</c:v>
                </c:pt>
                <c:pt idx="22">
                  <c:v>1.5209999999999999</c:v>
                </c:pt>
                <c:pt idx="23">
                  <c:v>1.7709999999999999</c:v>
                </c:pt>
                <c:pt idx="24">
                  <c:v>1.512</c:v>
                </c:pt>
                <c:pt idx="25">
                  <c:v>1.53</c:v>
                </c:pt>
                <c:pt idx="26">
                  <c:v>1.4370000000000001</c:v>
                </c:pt>
                <c:pt idx="27">
                  <c:v>1.593</c:v>
                </c:pt>
                <c:pt idx="28">
                  <c:v>1.4729999999999999</c:v>
                </c:pt>
                <c:pt idx="29">
                  <c:v>1.163</c:v>
                </c:pt>
                <c:pt idx="30">
                  <c:v>1.0189999999999999</c:v>
                </c:pt>
                <c:pt idx="31">
                  <c:v>1.0129999999999999</c:v>
                </c:pt>
                <c:pt idx="32">
                  <c:v>0.88</c:v>
                </c:pt>
                <c:pt idx="33">
                  <c:v>1.1990000000000001</c:v>
                </c:pt>
                <c:pt idx="34">
                  <c:v>1.5510000000000002</c:v>
                </c:pt>
                <c:pt idx="35">
                  <c:v>1.3839999999999999</c:v>
                </c:pt>
                <c:pt idx="36">
                  <c:v>1.5979999999999999</c:v>
                </c:pt>
                <c:pt idx="37">
                  <c:v>1.655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330376"/>
        <c:axId val="539330768"/>
        <c:extLst/>
      </c:lineChart>
      <c:dateAx>
        <c:axId val="539330376"/>
        <c:scaling>
          <c:orientation val="minMax"/>
        </c:scaling>
        <c:delete val="0"/>
        <c:axPos val="b"/>
        <c:numFmt formatCode="[$-41B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k-SK"/>
          </a:p>
        </c:txPr>
        <c:crossAx val="539330768"/>
        <c:crosses val="autoZero"/>
        <c:auto val="1"/>
        <c:lblOffset val="100"/>
        <c:baseTimeUnit val="months"/>
      </c:dateAx>
      <c:valAx>
        <c:axId val="5393307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539330376"/>
        <c:crosses val="autoZero"/>
        <c:crossBetween val="between"/>
        <c:majorUnit val="1.5"/>
        <c:minorUnit val="1"/>
      </c:valAx>
    </c:plotArea>
    <c:legend>
      <c:legendPos val="r"/>
      <c:layout>
        <c:manualLayout>
          <c:xMode val="edge"/>
          <c:yMode val="edge"/>
          <c:x val="0.41473290384156519"/>
          <c:y val="0.115689688673746"/>
          <c:w val="0.5349409687425436"/>
          <c:h val="0.24631233595800525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834951881014875"/>
          <c:y val="5.7607275729865758E-2"/>
          <c:w val="0.53229793644215539"/>
          <c:h val="0.84747511436283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25 + 26'!$B$25</c:f>
              <c:strCache>
                <c:ptCount val="1"/>
                <c:pt idx="0">
                  <c:v>vplyv jednorázových faktorov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'Graf 25 + 26'!$C$25</c:f>
              <c:numCache>
                <c:formatCode>0</c:formatCode>
                <c:ptCount val="1"/>
                <c:pt idx="0">
                  <c:v>-382.15019739058584</c:v>
                </c:pt>
              </c:numCache>
            </c:numRef>
          </c:val>
        </c:ser>
        <c:ser>
          <c:idx val="2"/>
          <c:order val="1"/>
          <c:tx>
            <c:strRef>
              <c:f>'Graf 25 + 26'!$B$24</c:f>
              <c:strCache>
                <c:ptCount val="1"/>
                <c:pt idx="0">
                  <c:v>vplyv novej legislatívy (len dane IFP)</c:v>
                </c:pt>
              </c:strCache>
            </c:strRef>
          </c:tx>
          <c:spPr>
            <a:ln w="28575">
              <a:noFill/>
            </a:ln>
          </c:spPr>
          <c:invertIfNegative val="0"/>
          <c:val>
            <c:numRef>
              <c:f>'Graf 25 + 26'!$C$24</c:f>
              <c:numCache>
                <c:formatCode>0</c:formatCode>
                <c:ptCount val="1"/>
                <c:pt idx="0">
                  <c:v>-15.155518041886863</c:v>
                </c:pt>
              </c:numCache>
            </c:numRef>
          </c:val>
        </c:ser>
        <c:ser>
          <c:idx val="8"/>
          <c:order val="2"/>
          <c:tx>
            <c:strRef>
              <c:f>'Graf 25 + 26'!$B$23</c:f>
              <c:strCache>
                <c:ptCount val="1"/>
                <c:pt idx="0">
                  <c:v>vplyv levelu (chyba prognózy)</c:v>
                </c:pt>
              </c:strCache>
            </c:strRef>
          </c:tx>
          <c:spPr>
            <a:solidFill>
              <a:srgbClr val="AAD3F2">
                <a:lumMod val="90000"/>
              </a:srgb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'Graf 25 + 26'!$C$23</c:f>
              <c:numCache>
                <c:formatCode>0</c:formatCode>
                <c:ptCount val="1"/>
                <c:pt idx="0">
                  <c:v>938.42022972234122</c:v>
                </c:pt>
              </c:numCache>
            </c:numRef>
          </c:val>
        </c:ser>
        <c:ser>
          <c:idx val="5"/>
          <c:order val="3"/>
          <c:tx>
            <c:strRef>
              <c:f>'Graf 25 + 26'!$B$22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25 + 26'!$C$22</c:f>
              <c:numCache>
                <c:formatCode>0</c:formatCode>
                <c:ptCount val="1"/>
                <c:pt idx="0">
                  <c:v>119.22957144210649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918368"/>
        <c:axId val="422918760"/>
      </c:barChart>
      <c:lineChart>
        <c:grouping val="standard"/>
        <c:varyColors val="0"/>
        <c:ser>
          <c:idx val="1"/>
          <c:order val="4"/>
          <c:tx>
            <c:strRef>
              <c:f>'Graf 25 + 26'!$B$21</c:f>
              <c:strCache>
                <c:ptCount val="1"/>
                <c:pt idx="0">
                  <c:v>Spolu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5.4977075234016799E-2"/>
                  <c:y val="-0.2424606407470497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2016</c:v>
              </c:pt>
            </c:numLit>
          </c:cat>
          <c:val>
            <c:numRef>
              <c:f>'Graf 25 + 26'!$C$21</c:f>
              <c:numCache>
                <c:formatCode>0</c:formatCode>
                <c:ptCount val="1"/>
                <c:pt idx="0">
                  <c:v>660.34408573197516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8368"/>
        <c:axId val="422918760"/>
      </c:lineChart>
      <c:catAx>
        <c:axId val="4229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22918760"/>
        <c:crosses val="autoZero"/>
        <c:auto val="1"/>
        <c:lblAlgn val="ctr"/>
        <c:lblOffset val="100"/>
        <c:noMultiLvlLbl val="0"/>
      </c:catAx>
      <c:valAx>
        <c:axId val="422918760"/>
        <c:scaling>
          <c:orientation val="minMax"/>
          <c:max val="110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422918368"/>
        <c:crosses val="autoZero"/>
        <c:crossBetween val="between"/>
        <c:majorUnit val="100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461383495057188"/>
          <c:y val="7.3713546223388743E-2"/>
          <c:w val="0.33641264543304705"/>
          <c:h val="0.692738221002247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834951881014875"/>
          <c:y val="5.3453630796150481E-2"/>
          <c:w val="0.56905649951650794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25 + 26'!$B$49</c:f>
              <c:strCache>
                <c:ptCount val="1"/>
                <c:pt idx="0">
                  <c:v>One offs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'Graf 25 + 26'!$C$49</c:f>
              <c:numCache>
                <c:formatCode>0</c:formatCode>
                <c:ptCount val="1"/>
                <c:pt idx="0">
                  <c:v>-382.15019739058584</c:v>
                </c:pt>
              </c:numCache>
            </c:numRef>
          </c:val>
        </c:ser>
        <c:ser>
          <c:idx val="2"/>
          <c:order val="1"/>
          <c:tx>
            <c:strRef>
              <c:f>'Graf 25 + 26'!$B$48</c:f>
              <c:strCache>
                <c:ptCount val="1"/>
                <c:pt idx="0">
                  <c:v>New legislation contributions</c:v>
                </c:pt>
              </c:strCache>
            </c:strRef>
          </c:tx>
          <c:spPr>
            <a:ln w="28575">
              <a:noFill/>
            </a:ln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25 + 26'!$C$48</c:f>
              <c:numCache>
                <c:formatCode>0</c:formatCode>
                <c:ptCount val="1"/>
                <c:pt idx="0">
                  <c:v>-15.155518041886863</c:v>
                </c:pt>
              </c:numCache>
            </c:numRef>
          </c:val>
        </c:ser>
        <c:ser>
          <c:idx val="8"/>
          <c:order val="2"/>
          <c:tx>
            <c:strRef>
              <c:f>'Graf 25 + 26'!$B$47</c:f>
              <c:strCache>
                <c:ptCount val="1"/>
                <c:pt idx="0">
                  <c:v>Level / ETR</c:v>
                </c:pt>
              </c:strCache>
            </c:strRef>
          </c:tx>
          <c:spPr>
            <a:solidFill>
              <a:srgbClr val="AAD3F2">
                <a:lumMod val="90000"/>
              </a:srgb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'Graf 25 + 26'!$C$47</c:f>
              <c:numCache>
                <c:formatCode>0</c:formatCode>
                <c:ptCount val="1"/>
                <c:pt idx="0">
                  <c:v>938.42022972234122</c:v>
                </c:pt>
              </c:numCache>
            </c:numRef>
          </c:val>
        </c:ser>
        <c:ser>
          <c:idx val="5"/>
          <c:order val="3"/>
          <c:tx>
            <c:strRef>
              <c:f>'Graf 25 + 26'!$B$46</c:f>
              <c:strCache>
                <c:ptCount val="1"/>
                <c:pt idx="0">
                  <c:v>Macroeconomic contributions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25 + 26'!$C$46</c:f>
              <c:numCache>
                <c:formatCode>0</c:formatCode>
                <c:ptCount val="1"/>
                <c:pt idx="0">
                  <c:v>119.22957144210649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019640"/>
        <c:axId val="608020032"/>
      </c:barChart>
      <c:lineChart>
        <c:grouping val="standard"/>
        <c:varyColors val="0"/>
        <c:ser>
          <c:idx val="1"/>
          <c:order val="4"/>
          <c:tx>
            <c:strRef>
              <c:f>'Graf 25 + 26'!$B$21</c:f>
              <c:strCache>
                <c:ptCount val="1"/>
                <c:pt idx="0">
                  <c:v>Spolu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5.4977075234016799E-2"/>
                  <c:y val="-0.24613197997913458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2016</c:v>
              </c:pt>
            </c:numLit>
          </c:cat>
          <c:val>
            <c:numRef>
              <c:f>'Graf 25 + 26'!$C$21</c:f>
              <c:numCache>
                <c:formatCode>0</c:formatCode>
                <c:ptCount val="1"/>
                <c:pt idx="0">
                  <c:v>660.34408573197516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019640"/>
        <c:axId val="608020032"/>
      </c:lineChart>
      <c:catAx>
        <c:axId val="60801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08020032"/>
        <c:crosses val="autoZero"/>
        <c:auto val="1"/>
        <c:lblAlgn val="ctr"/>
        <c:lblOffset val="100"/>
        <c:noMultiLvlLbl val="0"/>
      </c:catAx>
      <c:valAx>
        <c:axId val="608020032"/>
        <c:scaling>
          <c:orientation val="minMax"/>
          <c:max val="110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608019640"/>
        <c:crosses val="autoZero"/>
        <c:crossBetween val="between"/>
        <c:majorUnit val="100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461383495057188"/>
          <c:y val="7.3713546223388743E-2"/>
          <c:w val="0.33641264543304705"/>
          <c:h val="0.692738221002247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'Graf 25 + 26'!$G$21</c:f>
              <c:strCache>
                <c:ptCount val="1"/>
                <c:pt idx="0">
                  <c:v>makro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 + 26'!$E$23:$E$29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25 + 26'!$G$23:$G$29</c:f>
              <c:numCache>
                <c:formatCode>#,##0</c:formatCode>
                <c:ptCount val="7"/>
                <c:pt idx="0">
                  <c:v>55.842731549986716</c:v>
                </c:pt>
                <c:pt idx="1">
                  <c:v>-54.979091355157443</c:v>
                </c:pt>
                <c:pt idx="2">
                  <c:v>-88.913022073904301</c:v>
                </c:pt>
                <c:pt idx="3">
                  <c:v>12.038002533686644</c:v>
                </c:pt>
                <c:pt idx="4">
                  <c:v>149.01906423154651</c:v>
                </c:pt>
                <c:pt idx="5">
                  <c:v>67.281977794484874</c:v>
                </c:pt>
                <c:pt idx="6">
                  <c:v>-21.060091238536515</c:v>
                </c:pt>
              </c:numCache>
            </c:numRef>
          </c:val>
        </c:ser>
        <c:ser>
          <c:idx val="2"/>
          <c:order val="2"/>
          <c:tx>
            <c:strRef>
              <c:f>'Graf 25 + 26'!$H$21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chemeClr val="accent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 + 26'!$E$23:$E$29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25 + 26'!$H$23:$H$29</c:f>
              <c:numCache>
                <c:formatCode>#,##0</c:formatCode>
                <c:ptCount val="7"/>
                <c:pt idx="0">
                  <c:v>80.467059672258173</c:v>
                </c:pt>
                <c:pt idx="1">
                  <c:v>316.52662465453778</c:v>
                </c:pt>
                <c:pt idx="2">
                  <c:v>227.58594964988364</c:v>
                </c:pt>
                <c:pt idx="3">
                  <c:v>49.29910302631351</c:v>
                </c:pt>
                <c:pt idx="4">
                  <c:v>111.78454281503393</c:v>
                </c:pt>
                <c:pt idx="5">
                  <c:v>78.236805330013283</c:v>
                </c:pt>
                <c:pt idx="6">
                  <c:v>74.520144574300957</c:v>
                </c:pt>
              </c:numCache>
            </c:numRef>
          </c:val>
        </c:ser>
        <c:ser>
          <c:idx val="3"/>
          <c:order val="3"/>
          <c:tx>
            <c:strRef>
              <c:f>'Graf 25 + 26'!$I$21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 25 + 26'!$E$23:$E$29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25 + 26'!$I$23:$I$29</c:f>
              <c:numCache>
                <c:formatCode>#,##0</c:formatCode>
                <c:ptCount val="7"/>
                <c:pt idx="0">
                  <c:v>2.9600312677543257</c:v>
                </c:pt>
                <c:pt idx="1">
                  <c:v>4.1864667006202234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-19.346289004497056</c:v>
                </c:pt>
                <c:pt idx="6">
                  <c:v>-2.9557270057643557</c:v>
                </c:pt>
              </c:numCache>
            </c:numRef>
          </c:val>
        </c:ser>
        <c:ser>
          <c:idx val="4"/>
          <c:order val="4"/>
          <c:tx>
            <c:strRef>
              <c:f>'Graf 25 + 26'!$J$21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'Graf 25 + 26'!$E$23:$E$29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25 + 26'!$J$23:$J$29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-72.263887000000011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15.840200000000038</c:v>
                </c:pt>
              </c:numCache>
            </c:numRef>
          </c:val>
        </c:ser>
        <c:ser>
          <c:idx val="5"/>
          <c:order val="5"/>
          <c:tx>
            <c:strRef>
              <c:f>'Graf 25 + 26'!$K$21</c:f>
              <c:strCache>
                <c:ptCount val="1"/>
                <c:pt idx="0">
                  <c:v>rozpočtové rezervy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 + 26'!$E$23:$E$29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25 + 26'!$K$23:$K$29</c:f>
              <c:numCache>
                <c:formatCode>#,##0</c:formatCode>
                <c:ptCount val="7"/>
                <c:pt idx="2">
                  <c:v>-275.72651039058587</c:v>
                </c:pt>
                <c:pt idx="3">
                  <c:v>-50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020816"/>
        <c:axId val="60802120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44444444444446E-2"/>
                  <c:y val="-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44444444444446E-2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06802980272632E-2"/>
                  <c:y val="0.1990740740740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111111111111212E-2"/>
                  <c:y val="-7.407407407407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666666666666664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66666666666676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111111111111212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25 + 26'!$E$23:$E$29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25 + 26'!$F$23:$F$29</c:f>
              <c:numCache>
                <c:formatCode>#,##0</c:formatCode>
                <c:ptCount val="7"/>
                <c:pt idx="0">
                  <c:v>139.26982248999923</c:v>
                </c:pt>
                <c:pt idx="1">
                  <c:v>265.73400000000061</c:v>
                </c:pt>
                <c:pt idx="2">
                  <c:v>-209.31746981460654</c:v>
                </c:pt>
                <c:pt idx="3">
                  <c:v>11.337105560000156</c:v>
                </c:pt>
                <c:pt idx="4">
                  <c:v>260.80360704658045</c:v>
                </c:pt>
                <c:pt idx="5">
                  <c:v>126.17249412000109</c:v>
                </c:pt>
                <c:pt idx="6">
                  <c:v>66.344526330000008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020816"/>
        <c:axId val="608021208"/>
      </c:lineChart>
      <c:catAx>
        <c:axId val="60802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08021208"/>
        <c:crosses val="autoZero"/>
        <c:auto val="1"/>
        <c:lblAlgn val="ctr"/>
        <c:lblOffset val="100"/>
        <c:noMultiLvlLbl val="0"/>
      </c:catAx>
      <c:valAx>
        <c:axId val="6080212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0802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97239861146394E-2"/>
          <c:y val="5.0925925925925923E-2"/>
          <c:w val="0.88633286766573538"/>
          <c:h val="0.6420202682997958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25 + 26'!$G$51</c:f>
              <c:strCache>
                <c:ptCount val="1"/>
                <c:pt idx="0">
                  <c:v>Macroeconomic contributions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 + 26'!$E$53:$E$59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25 + 26'!$G$53:$G$59</c:f>
              <c:numCache>
                <c:formatCode>#,##0</c:formatCode>
                <c:ptCount val="7"/>
                <c:pt idx="0">
                  <c:v>55.842731549986716</c:v>
                </c:pt>
                <c:pt idx="1">
                  <c:v>-54.979091355157443</c:v>
                </c:pt>
                <c:pt idx="2">
                  <c:v>-88.913022073904301</c:v>
                </c:pt>
                <c:pt idx="3">
                  <c:v>12.038002533686644</c:v>
                </c:pt>
                <c:pt idx="4">
                  <c:v>149.01906423154651</c:v>
                </c:pt>
                <c:pt idx="5">
                  <c:v>67.281977794484874</c:v>
                </c:pt>
                <c:pt idx="6">
                  <c:v>-21.060091238536515</c:v>
                </c:pt>
              </c:numCache>
            </c:numRef>
          </c:val>
        </c:ser>
        <c:ser>
          <c:idx val="2"/>
          <c:order val="2"/>
          <c:tx>
            <c:strRef>
              <c:f>'Graf 25 + 26'!$H$51</c:f>
              <c:strCache>
                <c:ptCount val="1"/>
                <c:pt idx="0">
                  <c:v>Level / ETR</c:v>
                </c:pt>
              </c:strCache>
            </c:strRef>
          </c:tx>
          <c:spPr>
            <a:solidFill>
              <a:schemeClr val="accent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 + 26'!$E$53:$E$59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25 + 26'!$H$53:$H$59</c:f>
              <c:numCache>
                <c:formatCode>#,##0</c:formatCode>
                <c:ptCount val="7"/>
                <c:pt idx="0">
                  <c:v>80.467059672258173</c:v>
                </c:pt>
                <c:pt idx="1">
                  <c:v>316.52662465453778</c:v>
                </c:pt>
                <c:pt idx="2">
                  <c:v>227.58594964988364</c:v>
                </c:pt>
                <c:pt idx="3">
                  <c:v>49.29910302631351</c:v>
                </c:pt>
                <c:pt idx="4">
                  <c:v>111.78454281503393</c:v>
                </c:pt>
                <c:pt idx="5">
                  <c:v>78.236805330013283</c:v>
                </c:pt>
                <c:pt idx="6">
                  <c:v>74.520144574300957</c:v>
                </c:pt>
              </c:numCache>
            </c:numRef>
          </c:val>
        </c:ser>
        <c:ser>
          <c:idx val="3"/>
          <c:order val="3"/>
          <c:tx>
            <c:strRef>
              <c:f>'Graf 25 + 26'!$I$51</c:f>
              <c:strCache>
                <c:ptCount val="1"/>
                <c:pt idx="0">
                  <c:v>Legislation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 25 + 26'!$E$53:$E$59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25 + 26'!$I$53:$I$59</c:f>
              <c:numCache>
                <c:formatCode>#,##0</c:formatCode>
                <c:ptCount val="7"/>
                <c:pt idx="0">
                  <c:v>2.9600312677543257</c:v>
                </c:pt>
                <c:pt idx="1">
                  <c:v>4.1864667006202234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-19.346289004497056</c:v>
                </c:pt>
                <c:pt idx="6">
                  <c:v>-2.9557270057643557</c:v>
                </c:pt>
              </c:numCache>
            </c:numRef>
          </c:val>
        </c:ser>
        <c:ser>
          <c:idx val="4"/>
          <c:order val="4"/>
          <c:tx>
            <c:strRef>
              <c:f>'Graf 25 + 26'!$J$51</c:f>
              <c:strCache>
                <c:ptCount val="1"/>
                <c:pt idx="0">
                  <c:v>One offs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'Graf 25 + 26'!$E$53:$E$59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25 + 26'!$J$53:$J$59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-72.263887000000011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15.840200000000038</c:v>
                </c:pt>
              </c:numCache>
            </c:numRef>
          </c:val>
        </c:ser>
        <c:ser>
          <c:idx val="5"/>
          <c:order val="5"/>
          <c:tx>
            <c:strRef>
              <c:f>'Graf 25 + 26'!$K$51</c:f>
              <c:strCache>
                <c:ptCount val="1"/>
                <c:pt idx="0">
                  <c:v>Budgeted reserves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25 + 26'!$E$53:$E$59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25 + 26'!$K$53:$K$59</c:f>
              <c:numCache>
                <c:formatCode>#,##0</c:formatCode>
                <c:ptCount val="7"/>
                <c:pt idx="2">
                  <c:v>-275.72651039058587</c:v>
                </c:pt>
                <c:pt idx="3">
                  <c:v>-50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021992"/>
        <c:axId val="608022384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44444444444446E-2"/>
                  <c:y val="-3.2407407407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44444444444446E-2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132545931758529E-2"/>
                  <c:y val="0.18518518518518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111111111111212E-2"/>
                  <c:y val="-7.407407407407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666666666666664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66666666666676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111111111111212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25 + 26'!$E$53:$E$59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25 + 26'!$F$53:$F$59</c:f>
              <c:numCache>
                <c:formatCode>#,##0</c:formatCode>
                <c:ptCount val="7"/>
                <c:pt idx="0">
                  <c:v>139.26982248999923</c:v>
                </c:pt>
                <c:pt idx="1">
                  <c:v>265.73400000000061</c:v>
                </c:pt>
                <c:pt idx="2">
                  <c:v>-209.31746981460654</c:v>
                </c:pt>
                <c:pt idx="3">
                  <c:v>11.337105560000156</c:v>
                </c:pt>
                <c:pt idx="4">
                  <c:v>260.80360704658045</c:v>
                </c:pt>
                <c:pt idx="5">
                  <c:v>126.17249412000109</c:v>
                </c:pt>
                <c:pt idx="6">
                  <c:v>66.344526330000008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021992"/>
        <c:axId val="608022384"/>
      </c:lineChart>
      <c:catAx>
        <c:axId val="608021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08022384"/>
        <c:crosses val="autoZero"/>
        <c:auto val="1"/>
        <c:lblAlgn val="ctr"/>
        <c:lblOffset val="100"/>
        <c:noMultiLvlLbl val="0"/>
      </c:catAx>
      <c:valAx>
        <c:axId val="6080223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08021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8.2749555499111005E-2"/>
          <c:y val="0.80497521143190431"/>
          <c:w val="0.81568368470070285"/>
          <c:h val="0.18576552930883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</c:spPr>
          </c:dPt>
          <c:dPt>
            <c:idx val="7"/>
            <c:invertIfNegative val="0"/>
            <c:bubble3D val="0"/>
          </c:dPt>
          <c:dPt>
            <c:idx val="10"/>
            <c:invertIfNegative val="0"/>
            <c:bubble3D val="0"/>
          </c:dPt>
          <c:cat>
            <c:strRef>
              <c:f>'Graf 27'!$A$26:$A$41</c:f>
              <c:strCache>
                <c:ptCount val="16"/>
                <c:pt idx="0">
                  <c:v>Saldo VS - rozpočet</c:v>
                </c:pt>
                <c:pt idx="1">
                  <c:v>Vyššie odvody (D.61)</c:v>
                </c:pt>
                <c:pt idx="2">
                  <c:v>Nižšie kapitálové investície (P.5L=P.51G)</c:v>
                </c:pt>
                <c:pt idx="3">
                  <c:v>Ostatné bežné transfery (D.7P)</c:v>
                </c:pt>
                <c:pt idx="4">
                  <c:v>Vyššie nedaňové príjmy (P.11+P.12+P.131+D.4)</c:v>
                </c:pt>
                <c:pt idx="5">
                  <c:v>Úspora na úrokových nákladoch (D.41P)</c:v>
                </c:pt>
                <c:pt idx="6">
                  <c:v>Kompenzácie zamestnancov (D.1P)</c:v>
                </c:pt>
                <c:pt idx="7">
                  <c:v>Nižšie granty a transfery (D.39+D.7R+D.9R)</c:v>
                </c:pt>
                <c:pt idx="8">
                  <c:v>Vplyv JAVYSu na saldo VS</c:v>
                </c:pt>
                <c:pt idx="9">
                  <c:v>Vyššie kapitálové transfery (D.9P)</c:v>
                </c:pt>
                <c:pt idx="10">
                  <c:v>Vyššie výdavky verejného zdravotného poistenia (D.632P)</c:v>
                </c:pt>
                <c:pt idx="11">
                  <c:v>Vyššie výdavky na sociálne dávky (D.62P)</c:v>
                </c:pt>
                <c:pt idx="12">
                  <c:v>Medzispotreba (P.2)</c:v>
                </c:pt>
                <c:pt idx="13">
                  <c:v>Dotácie (D.3P)</c:v>
                </c:pt>
                <c:pt idx="14">
                  <c:v>Nižšie daňové príjmy (D.2+D.5+D.91)</c:v>
                </c:pt>
                <c:pt idx="15">
                  <c:v>Saldo VS - očakávaná skutočnosť</c:v>
                </c:pt>
              </c:strCache>
            </c:strRef>
          </c:cat>
          <c:val>
            <c:numRef>
              <c:f>'Graf 27'!$D$27:$D$41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cat>
            <c:strRef>
              <c:f>'Graf 27'!$A$26:$A$41</c:f>
              <c:strCache>
                <c:ptCount val="16"/>
                <c:pt idx="0">
                  <c:v>Saldo VS - rozpočet</c:v>
                </c:pt>
                <c:pt idx="1">
                  <c:v>Vyššie odvody (D.61)</c:v>
                </c:pt>
                <c:pt idx="2">
                  <c:v>Nižšie kapitálové investície (P.5L=P.51G)</c:v>
                </c:pt>
                <c:pt idx="3">
                  <c:v>Ostatné bežné transfery (D.7P)</c:v>
                </c:pt>
                <c:pt idx="4">
                  <c:v>Vyššie nedaňové príjmy (P.11+P.12+P.131+D.4)</c:v>
                </c:pt>
                <c:pt idx="5">
                  <c:v>Úspora na úrokových nákladoch (D.41P)</c:v>
                </c:pt>
                <c:pt idx="6">
                  <c:v>Kompenzácie zamestnancov (D.1P)</c:v>
                </c:pt>
                <c:pt idx="7">
                  <c:v>Nižšie granty a transfery (D.39+D.7R+D.9R)</c:v>
                </c:pt>
                <c:pt idx="8">
                  <c:v>Vplyv JAVYSu na saldo VS</c:v>
                </c:pt>
                <c:pt idx="9">
                  <c:v>Vyššie kapitálové transfery (D.9P)</c:v>
                </c:pt>
                <c:pt idx="10">
                  <c:v>Vyššie výdavky verejného zdravotného poistenia (D.632P)</c:v>
                </c:pt>
                <c:pt idx="11">
                  <c:v>Vyššie výdavky na sociálne dávky (D.62P)</c:v>
                </c:pt>
                <c:pt idx="12">
                  <c:v>Medzispotreba (P.2)</c:v>
                </c:pt>
                <c:pt idx="13">
                  <c:v>Dotácie (D.3P)</c:v>
                </c:pt>
                <c:pt idx="14">
                  <c:v>Nižšie daňové príjmy (D.2+D.5+D.91)</c:v>
                </c:pt>
                <c:pt idx="15">
                  <c:v>Saldo VS - očakávaná skutočnosť</c:v>
                </c:pt>
              </c:strCache>
            </c:strRef>
          </c:cat>
          <c:val>
            <c:numRef>
              <c:f>'Graf 27'!$E$26:$E$41</c:f>
              <c:numCache>
                <c:formatCode>#,##0</c:formatCode>
                <c:ptCount val="16"/>
                <c:pt idx="1">
                  <c:v>-901.64899999999398</c:v>
                </c:pt>
                <c:pt idx="2">
                  <c:v>-732.40599999999358</c:v>
                </c:pt>
                <c:pt idx="3">
                  <c:v>-596.68899999999371</c:v>
                </c:pt>
                <c:pt idx="4">
                  <c:v>-543.12899999999377</c:v>
                </c:pt>
                <c:pt idx="5">
                  <c:v>-522.6619999999939</c:v>
                </c:pt>
                <c:pt idx="6">
                  <c:v>-522.6619999999939</c:v>
                </c:pt>
                <c:pt idx="7">
                  <c:v>-682.17199999999411</c:v>
                </c:pt>
                <c:pt idx="8">
                  <c:v>-824.642642999994</c:v>
                </c:pt>
                <c:pt idx="9">
                  <c:v>-898.12099999999396</c:v>
                </c:pt>
                <c:pt idx="10">
                  <c:v>-943.29399999999396</c:v>
                </c:pt>
                <c:pt idx="11">
                  <c:v>-980.57499999999391</c:v>
                </c:pt>
                <c:pt idx="12">
                  <c:v>-1013.2089999999939</c:v>
                </c:pt>
                <c:pt idx="13">
                  <c:v>-1028.6659999999943</c:v>
                </c:pt>
                <c:pt idx="14">
                  <c:v>-1040.6659999999943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c:spPr>
          </c:dPt>
          <c:dPt>
            <c:idx val="1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0F8FA94A-C5BC-46E4-B6E3-A1BBB1F30900}" type="VALUE">
                      <a:rPr lang="en-US"/>
                      <a:pPr/>
                      <a:t>[HODNOTA]</a:t>
                    </a:fld>
                    <a:r>
                      <a:rPr lang="en-US"/>
                      <a:t> (-1,29</a:t>
                    </a:r>
                    <a:r>
                      <a:rPr lang="en-US" baseline="0"/>
                      <a:t> % HDP)**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182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943359214856066E-17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2943359214856066E-17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893873235299875E-3"/>
                  <c:y val="-6.2654181159738157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978774647059975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-160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9884249609344839E-3"/>
                  <c:y val="6.26082879058669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1.9893873235299875E-3"/>
                  <c:y val="0"/>
                </c:manualLayout>
              </c:layout>
              <c:tx>
                <c:rich>
                  <a:bodyPr/>
                  <a:lstStyle/>
                  <a:p>
                    <a:fld id="{E9C850E1-64C8-4C81-87A6-03AD234B93EA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(-1,24 %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B2ECCDD-C7B6-49E3-8E90-DE6F55EF84EB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(-1,24 %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27'!$A$26:$A$41</c:f>
              <c:strCache>
                <c:ptCount val="16"/>
                <c:pt idx="0">
                  <c:v>Saldo VS - rozpočet</c:v>
                </c:pt>
                <c:pt idx="1">
                  <c:v>Vyššie odvody (D.61)</c:v>
                </c:pt>
                <c:pt idx="2">
                  <c:v>Nižšie kapitálové investície (P.5L=P.51G)</c:v>
                </c:pt>
                <c:pt idx="3">
                  <c:v>Ostatné bežné transfery (D.7P)</c:v>
                </c:pt>
                <c:pt idx="4">
                  <c:v>Vyššie nedaňové príjmy (P.11+P.12+P.131+D.4)</c:v>
                </c:pt>
                <c:pt idx="5">
                  <c:v>Úspora na úrokových nákladoch (D.41P)</c:v>
                </c:pt>
                <c:pt idx="6">
                  <c:v>Kompenzácie zamestnancov (D.1P)</c:v>
                </c:pt>
                <c:pt idx="7">
                  <c:v>Nižšie granty a transfery (D.39+D.7R+D.9R)</c:v>
                </c:pt>
                <c:pt idx="8">
                  <c:v>Vplyv JAVYSu na saldo VS</c:v>
                </c:pt>
                <c:pt idx="9">
                  <c:v>Vyššie kapitálové transfery (D.9P)</c:v>
                </c:pt>
                <c:pt idx="10">
                  <c:v>Vyššie výdavky verejného zdravotného poistenia (D.632P)</c:v>
                </c:pt>
                <c:pt idx="11">
                  <c:v>Vyššie výdavky na sociálne dávky (D.62P)</c:v>
                </c:pt>
                <c:pt idx="12">
                  <c:v>Medzispotreba (P.2)</c:v>
                </c:pt>
                <c:pt idx="13">
                  <c:v>Dotácie (D.3P)</c:v>
                </c:pt>
                <c:pt idx="14">
                  <c:v>Nižšie daňové príjmy (D.2+D.5+D.91)</c:v>
                </c:pt>
                <c:pt idx="15">
                  <c:v>Saldo VS - očakávaná skutočnosť</c:v>
                </c:pt>
              </c:strCache>
            </c:strRef>
          </c:cat>
          <c:val>
            <c:numRef>
              <c:f>'Graf 27'!$F$26:$F$41</c:f>
              <c:numCache>
                <c:formatCode>#,##0</c:formatCode>
                <c:ptCount val="16"/>
                <c:pt idx="0">
                  <c:v>-1083.4889999999941</c:v>
                </c:pt>
                <c:pt idx="1">
                  <c:v>-181.84000000000015</c:v>
                </c:pt>
                <c:pt idx="2">
                  <c:v>-169.24300000000039</c:v>
                </c:pt>
                <c:pt idx="3">
                  <c:v>-135.71699999999987</c:v>
                </c:pt>
                <c:pt idx="4">
                  <c:v>-53.559999999999945</c:v>
                </c:pt>
                <c:pt idx="5">
                  <c:v>-20.466999999999871</c:v>
                </c:pt>
                <c:pt idx="6">
                  <c:v>-159.51000000000022</c:v>
                </c:pt>
                <c:pt idx="7">
                  <c:v>-142.47064299999988</c:v>
                </c:pt>
                <c:pt idx="8">
                  <c:v>-73.478357000000017</c:v>
                </c:pt>
                <c:pt idx="9">
                  <c:v>-45.173000000000002</c:v>
                </c:pt>
                <c:pt idx="10">
                  <c:v>-37.280999999999949</c:v>
                </c:pt>
                <c:pt idx="11">
                  <c:v>-32.634000000000015</c:v>
                </c:pt>
                <c:pt idx="12">
                  <c:v>-15.457000000000335</c:v>
                </c:pt>
                <c:pt idx="13">
                  <c:v>-12</c:v>
                </c:pt>
                <c:pt idx="14">
                  <c:v>-8.1299999999991996</c:v>
                </c:pt>
                <c:pt idx="15">
                  <c:v>-1048.7959999999948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08023168"/>
        <c:axId val="659141648"/>
      </c:barChart>
      <c:catAx>
        <c:axId val="608023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659141648"/>
        <c:crosses val="autoZero"/>
        <c:auto val="1"/>
        <c:lblAlgn val="ctr"/>
        <c:lblOffset val="100"/>
        <c:noMultiLvlLbl val="0"/>
      </c:catAx>
      <c:valAx>
        <c:axId val="659141648"/>
        <c:scaling>
          <c:orientation val="minMax"/>
          <c:max val="0"/>
          <c:min val="-12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608023168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</c:spPr>
          </c:dPt>
          <c:dPt>
            <c:idx val="7"/>
            <c:invertIfNegative val="0"/>
            <c:bubble3D val="0"/>
          </c:dPt>
          <c:dPt>
            <c:idx val="10"/>
            <c:invertIfNegative val="0"/>
            <c:bubble3D val="0"/>
          </c:dPt>
          <c:cat>
            <c:strRef>
              <c:f>'Graf 27'!$J$26:$J$46</c:f>
              <c:strCache>
                <c:ptCount val="16"/>
                <c:pt idx="0">
                  <c:v>Headline balance - Final</c:v>
                </c:pt>
                <c:pt idx="1">
                  <c:v>Higher social contributions (D.61)</c:v>
                </c:pt>
                <c:pt idx="2">
                  <c:v>Lower capital investments (P.5L=P.51G)</c:v>
                </c:pt>
                <c:pt idx="3">
                  <c:v>Higher current transfers (D.7P)</c:v>
                </c:pt>
                <c:pt idx="4">
                  <c:v>Higher nontax revenues (P.11+P.12+P.131+D.4)</c:v>
                </c:pt>
                <c:pt idx="5">
                  <c:v>Savings on interest (D.41P)</c:v>
                </c:pt>
                <c:pt idx="6">
                  <c:v>Higher compensations (D.1P)</c:v>
                </c:pt>
                <c:pt idx="7">
                  <c:v>Lower grants and transfers (D.39+D.7R+D.9R)</c:v>
                </c:pt>
                <c:pt idx="8">
                  <c:v>JAVYS</c:v>
                </c:pt>
                <c:pt idx="9">
                  <c:v>Lower capital transfers (D.9P)</c:v>
                </c:pt>
                <c:pt idx="10">
                  <c:v>Higher expenditures on healthcare (D.632P)</c:v>
                </c:pt>
                <c:pt idx="11">
                  <c:v>Higier social benefits expenditure (D.62P)</c:v>
                </c:pt>
                <c:pt idx="12">
                  <c:v>Higher intermediate consumption (P.2)</c:v>
                </c:pt>
                <c:pt idx="13">
                  <c:v>Subsidies (D.3P)</c:v>
                </c:pt>
                <c:pt idx="14">
                  <c:v>Lower tax revenue (D.2+D.5+D.91)</c:v>
                </c:pt>
                <c:pt idx="15">
                  <c:v>Expected headline balance</c:v>
                </c:pt>
              </c:strCache>
            </c:strRef>
          </c:cat>
          <c:val>
            <c:numRef>
              <c:f>'Graf 27'!$M$27:$M$41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cat>
            <c:strRef>
              <c:f>'Graf 27'!$J$26:$J$46</c:f>
              <c:strCache>
                <c:ptCount val="16"/>
                <c:pt idx="0">
                  <c:v>Headline balance - Final</c:v>
                </c:pt>
                <c:pt idx="1">
                  <c:v>Higher social contributions (D.61)</c:v>
                </c:pt>
                <c:pt idx="2">
                  <c:v>Lower capital investments (P.5L=P.51G)</c:v>
                </c:pt>
                <c:pt idx="3">
                  <c:v>Higher current transfers (D.7P)</c:v>
                </c:pt>
                <c:pt idx="4">
                  <c:v>Higher nontax revenues (P.11+P.12+P.131+D.4)</c:v>
                </c:pt>
                <c:pt idx="5">
                  <c:v>Savings on interest (D.41P)</c:v>
                </c:pt>
                <c:pt idx="6">
                  <c:v>Higher compensations (D.1P)</c:v>
                </c:pt>
                <c:pt idx="7">
                  <c:v>Lower grants and transfers (D.39+D.7R+D.9R)</c:v>
                </c:pt>
                <c:pt idx="8">
                  <c:v>JAVYS</c:v>
                </c:pt>
                <c:pt idx="9">
                  <c:v>Lower capital transfers (D.9P)</c:v>
                </c:pt>
                <c:pt idx="10">
                  <c:v>Higher expenditures on healthcare (D.632P)</c:v>
                </c:pt>
                <c:pt idx="11">
                  <c:v>Higier social benefits expenditure (D.62P)</c:v>
                </c:pt>
                <c:pt idx="12">
                  <c:v>Higher intermediate consumption (P.2)</c:v>
                </c:pt>
                <c:pt idx="13">
                  <c:v>Subsidies (D.3P)</c:v>
                </c:pt>
                <c:pt idx="14">
                  <c:v>Lower tax revenue (D.2+D.5+D.91)</c:v>
                </c:pt>
                <c:pt idx="15">
                  <c:v>Expected headline balance</c:v>
                </c:pt>
              </c:strCache>
            </c:strRef>
          </c:cat>
          <c:val>
            <c:numRef>
              <c:f>'Graf 27'!$N$26:$N$41</c:f>
              <c:numCache>
                <c:formatCode>#,##0</c:formatCode>
                <c:ptCount val="16"/>
                <c:pt idx="1">
                  <c:v>-901.64899999999398</c:v>
                </c:pt>
                <c:pt idx="2">
                  <c:v>-732.40599999999358</c:v>
                </c:pt>
                <c:pt idx="3">
                  <c:v>-596.68899999999371</c:v>
                </c:pt>
                <c:pt idx="4">
                  <c:v>-543.12899999999377</c:v>
                </c:pt>
                <c:pt idx="5">
                  <c:v>-522.6619999999939</c:v>
                </c:pt>
                <c:pt idx="6">
                  <c:v>-522.6619999999939</c:v>
                </c:pt>
                <c:pt idx="7">
                  <c:v>-682.17199999999411</c:v>
                </c:pt>
                <c:pt idx="8">
                  <c:v>-824.642642999994</c:v>
                </c:pt>
                <c:pt idx="9">
                  <c:v>-898.12099999999396</c:v>
                </c:pt>
                <c:pt idx="10">
                  <c:v>-943.29399999999396</c:v>
                </c:pt>
                <c:pt idx="11">
                  <c:v>-980.57499999999391</c:v>
                </c:pt>
                <c:pt idx="12">
                  <c:v>-1013.2089999999939</c:v>
                </c:pt>
                <c:pt idx="13">
                  <c:v>-1028.6659999999943</c:v>
                </c:pt>
                <c:pt idx="14">
                  <c:v>-1040.6659999999943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c:spPr>
          </c:dPt>
          <c:dPt>
            <c:idx val="1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c:spPr>
          </c:dPt>
          <c:dLbls>
            <c:dLbl>
              <c:idx val="0"/>
              <c:layout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0F8FA94A-C5BC-46E4-B6E3-A1BBB1F30900}" type="VALUE">
                      <a:rPr lang="en-US"/>
                      <a:pPr>
                        <a:defRPr/>
                      </a:pPr>
                      <a:t>[HODNOTA]</a:t>
                    </a:fld>
                    <a:r>
                      <a:rPr lang="en-US"/>
                      <a:t> (-1,29</a:t>
                    </a:r>
                    <a:r>
                      <a:rPr lang="en-US" baseline="0"/>
                      <a:t> % of GDP)**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182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943359214856066E-17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2943359214856066E-17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893873235299875E-3"/>
                  <c:y val="-6.2654181159738157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978774647059975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-160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9884249609344839E-3"/>
                  <c:y val="6.26082879058669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1.9893873235299875E-3"/>
                  <c:y val="0"/>
                </c:manualLayout>
              </c:layout>
              <c:tx>
                <c:rich>
                  <a:bodyPr/>
                  <a:lstStyle/>
                  <a:p>
                    <a:fld id="{E9C850E1-64C8-4C81-87A6-03AD234B93EA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(-1,24 % </a:t>
                    </a:r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</a:rPr>
                      <a:t>of GDP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B2ECCDD-C7B6-49E3-8E90-DE6F55EF84EB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 (-1,24 %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27'!$J$26:$J$46</c:f>
              <c:strCache>
                <c:ptCount val="16"/>
                <c:pt idx="0">
                  <c:v>Headline balance - Final</c:v>
                </c:pt>
                <c:pt idx="1">
                  <c:v>Higher social contributions (D.61)</c:v>
                </c:pt>
                <c:pt idx="2">
                  <c:v>Lower capital investments (P.5L=P.51G)</c:v>
                </c:pt>
                <c:pt idx="3">
                  <c:v>Higher current transfers (D.7P)</c:v>
                </c:pt>
                <c:pt idx="4">
                  <c:v>Higher nontax revenues (P.11+P.12+P.131+D.4)</c:v>
                </c:pt>
                <c:pt idx="5">
                  <c:v>Savings on interest (D.41P)</c:v>
                </c:pt>
                <c:pt idx="6">
                  <c:v>Higher compensations (D.1P)</c:v>
                </c:pt>
                <c:pt idx="7">
                  <c:v>Lower grants and transfers (D.39+D.7R+D.9R)</c:v>
                </c:pt>
                <c:pt idx="8">
                  <c:v>JAVYS</c:v>
                </c:pt>
                <c:pt idx="9">
                  <c:v>Lower capital transfers (D.9P)</c:v>
                </c:pt>
                <c:pt idx="10">
                  <c:v>Higher expenditures on healthcare (D.632P)</c:v>
                </c:pt>
                <c:pt idx="11">
                  <c:v>Higier social benefits expenditure (D.62P)</c:v>
                </c:pt>
                <c:pt idx="12">
                  <c:v>Higher intermediate consumption (P.2)</c:v>
                </c:pt>
                <c:pt idx="13">
                  <c:v>Subsidies (D.3P)</c:v>
                </c:pt>
                <c:pt idx="14">
                  <c:v>Lower tax revenue (D.2+D.5+D.91)</c:v>
                </c:pt>
                <c:pt idx="15">
                  <c:v>Expected headline balance</c:v>
                </c:pt>
              </c:strCache>
            </c:strRef>
          </c:cat>
          <c:val>
            <c:numRef>
              <c:f>'Graf 27'!$O$26:$O$41</c:f>
              <c:numCache>
                <c:formatCode>#,##0</c:formatCode>
                <c:ptCount val="16"/>
                <c:pt idx="0">
                  <c:v>-1083.4889999999941</c:v>
                </c:pt>
                <c:pt idx="1">
                  <c:v>-181.84000000000015</c:v>
                </c:pt>
                <c:pt idx="2">
                  <c:v>-169.24300000000039</c:v>
                </c:pt>
                <c:pt idx="3">
                  <c:v>-135.71699999999987</c:v>
                </c:pt>
                <c:pt idx="4">
                  <c:v>-53.559999999999945</c:v>
                </c:pt>
                <c:pt idx="5">
                  <c:v>-20.466999999999871</c:v>
                </c:pt>
                <c:pt idx="6">
                  <c:v>-159.51000000000022</c:v>
                </c:pt>
                <c:pt idx="7">
                  <c:v>-142.47064299999988</c:v>
                </c:pt>
                <c:pt idx="8">
                  <c:v>-73.478357000000017</c:v>
                </c:pt>
                <c:pt idx="9">
                  <c:v>-45.173000000000002</c:v>
                </c:pt>
                <c:pt idx="10">
                  <c:v>-37.280999999999949</c:v>
                </c:pt>
                <c:pt idx="11">
                  <c:v>-32.634000000000015</c:v>
                </c:pt>
                <c:pt idx="12">
                  <c:v>-15.457000000000335</c:v>
                </c:pt>
                <c:pt idx="13">
                  <c:v>-12</c:v>
                </c:pt>
                <c:pt idx="14">
                  <c:v>-8.1299999999991996</c:v>
                </c:pt>
                <c:pt idx="15">
                  <c:v>-1048.7959999999948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59142432"/>
        <c:axId val="659142824"/>
      </c:barChart>
      <c:catAx>
        <c:axId val="659142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659142824"/>
        <c:crosses val="autoZero"/>
        <c:auto val="1"/>
        <c:lblAlgn val="ctr"/>
        <c:lblOffset val="100"/>
        <c:noMultiLvlLbl val="0"/>
      </c:catAx>
      <c:valAx>
        <c:axId val="659142824"/>
        <c:scaling>
          <c:orientation val="minMax"/>
          <c:max val="0"/>
          <c:min val="-12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659142432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3408434657041E-2"/>
          <c:y val="7.3052359769014405E-2"/>
          <c:w val="0.87884761275960332"/>
          <c:h val="0.664777519744269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 28 + 29 '!$A$20</c:f>
              <c:strCache>
                <c:ptCount val="1"/>
                <c:pt idx="0">
                  <c:v>PS 2016-2019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val>
            <c:numRef>
              <c:f>'Graf 28 + 29 '!$B$20:$C$20</c:f>
              <c:numCache>
                <c:formatCode>0.00</c:formatCode>
                <c:ptCount val="2"/>
                <c:pt idx="0">
                  <c:v>-0.23449629399436844</c:v>
                </c:pt>
                <c:pt idx="1">
                  <c:v>-1.2388716854971893E-2</c:v>
                </c:pt>
              </c:numCache>
            </c:numRef>
          </c:val>
        </c:ser>
        <c:ser>
          <c:idx val="0"/>
          <c:order val="1"/>
          <c:tx>
            <c:strRef>
              <c:f>'Graf 28 + 29 '!$A$19</c:f>
              <c:strCache>
                <c:ptCount val="1"/>
                <c:pt idx="0">
                  <c:v>PS 2017-2020</c:v>
                </c:pt>
              </c:strCache>
            </c:strRef>
          </c:tx>
          <c:invertIfNegative val="0"/>
          <c:cat>
            <c:numRef>
              <c:f>'Graf 28 + 29 '!$B$18:$D$18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'Graf 28 + 29 '!$B$19:$D$19</c:f>
              <c:numCache>
                <c:formatCode>0.00</c:formatCode>
                <c:ptCount val="3"/>
                <c:pt idx="0">
                  <c:v>0.31242459541138601</c:v>
                </c:pt>
                <c:pt idx="1">
                  <c:v>-0.16791686993519761</c:v>
                </c:pt>
                <c:pt idx="2">
                  <c:v>0.1649464252480044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9144000"/>
        <c:axId val="659144392"/>
      </c:barChart>
      <c:catAx>
        <c:axId val="65914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659144392"/>
        <c:crosses val="autoZero"/>
        <c:auto val="1"/>
        <c:lblAlgn val="ctr"/>
        <c:lblOffset val="100"/>
        <c:noMultiLvlLbl val="0"/>
      </c:catAx>
      <c:valAx>
        <c:axId val="659144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none"/>
        <c:minorTickMark val="none"/>
        <c:tickLblPos val="nextTo"/>
        <c:crossAx val="65914400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2781842404062303"/>
          <c:y val="0.83890046001546814"/>
          <c:w val="0.42476487626199244"/>
          <c:h val="0.10742827978687745"/>
        </c:manualLayout>
      </c:layout>
      <c:overlay val="0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9577427903375673E-2"/>
          <c:y val="3.3854042744781626E-2"/>
          <c:w val="0.9361613213526101"/>
          <c:h val="0.78431130891247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 28 + 29 '!$A$42</c:f>
              <c:strCache>
                <c:ptCount val="1"/>
                <c:pt idx="0">
                  <c:v>SP 2016-2019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</c:spPr>
          <c:invertIfNegative val="0"/>
          <c:val>
            <c:numRef>
              <c:f>'Graf 28 + 29 '!$B$42:$C$42</c:f>
              <c:numCache>
                <c:formatCode>0.00</c:formatCode>
                <c:ptCount val="2"/>
                <c:pt idx="0">
                  <c:v>-0.23449629399436844</c:v>
                </c:pt>
                <c:pt idx="1">
                  <c:v>-1.2388716854971893E-2</c:v>
                </c:pt>
              </c:numCache>
            </c:numRef>
          </c:val>
        </c:ser>
        <c:ser>
          <c:idx val="0"/>
          <c:order val="1"/>
          <c:tx>
            <c:strRef>
              <c:f>'Graf 28 + 29 '!$A$41</c:f>
              <c:strCache>
                <c:ptCount val="1"/>
                <c:pt idx="0">
                  <c:v>SP 2017-2020</c:v>
                </c:pt>
              </c:strCache>
            </c:strRef>
          </c:tx>
          <c:invertIfNegative val="0"/>
          <c:cat>
            <c:numRef>
              <c:f>'Graf 28 + 29 '!$B$40:$D$40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'Graf 28 + 29 '!$B$41:$D$41</c:f>
              <c:numCache>
                <c:formatCode>0.00</c:formatCode>
                <c:ptCount val="3"/>
                <c:pt idx="0">
                  <c:v>0.31242459541138601</c:v>
                </c:pt>
                <c:pt idx="1">
                  <c:v>-0.16791686993519761</c:v>
                </c:pt>
                <c:pt idx="2">
                  <c:v>0.1649464252480044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9145176"/>
        <c:axId val="659145568"/>
      </c:barChart>
      <c:catAx>
        <c:axId val="65914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59145568"/>
        <c:crosses val="autoZero"/>
        <c:auto val="1"/>
        <c:lblAlgn val="ctr"/>
        <c:lblOffset val="100"/>
        <c:noMultiLvlLbl val="0"/>
      </c:catAx>
      <c:valAx>
        <c:axId val="659145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crossAx val="65914517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28 + 29 '!$A$19</c:f>
              <c:strCache>
                <c:ptCount val="1"/>
                <c:pt idx="0">
                  <c:v>PS 2017-2020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ln>
                <a:noFill/>
              </a:ln>
            </c:spPr>
          </c:marker>
          <c:cat>
            <c:numRef>
              <c:f>'Graf 28 + 29 '!$I$18:$K$18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'Graf 28 + 29 '!$I$19:$K$19</c:f>
              <c:numCache>
                <c:formatCode>0.00</c:formatCode>
                <c:ptCount val="3"/>
                <c:pt idx="0">
                  <c:v>0.59876946385457219</c:v>
                </c:pt>
                <c:pt idx="1">
                  <c:v>0.63319657685728847</c:v>
                </c:pt>
                <c:pt idx="2">
                  <c:v>0.401348364868858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28 + 29 '!$A$20</c:f>
              <c:strCache>
                <c:ptCount val="1"/>
                <c:pt idx="0">
                  <c:v>PS 2016-2019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ysClr val="window" lastClr="FFFFFF">
                  <a:lumMod val="85000"/>
                </a:sysClr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</c:spPr>
          </c:marker>
          <c:val>
            <c:numRef>
              <c:f>'Graf 28 + 29 '!$I$20:$K$20</c:f>
              <c:numCache>
                <c:formatCode>0.00</c:formatCode>
                <c:ptCount val="3"/>
                <c:pt idx="0">
                  <c:v>0.37382481904528503</c:v>
                </c:pt>
                <c:pt idx="1">
                  <c:v>0.12477277217213759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146352"/>
        <c:axId val="659146744"/>
      </c:lineChart>
      <c:catAx>
        <c:axId val="65914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659146744"/>
        <c:crosses val="autoZero"/>
        <c:auto val="1"/>
        <c:lblAlgn val="ctr"/>
        <c:lblOffset val="100"/>
        <c:noMultiLvlLbl val="0"/>
      </c:catAx>
      <c:valAx>
        <c:axId val="659146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crossAx val="65914635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84149895540937E-2"/>
          <c:y val="3.3854042744781626E-2"/>
          <c:w val="0.9361613213526101"/>
          <c:h val="0.75780708661417329"/>
        </c:manualLayout>
      </c:layout>
      <c:lineChart>
        <c:grouping val="standard"/>
        <c:varyColors val="0"/>
        <c:ser>
          <c:idx val="0"/>
          <c:order val="0"/>
          <c:tx>
            <c:strRef>
              <c:f>'Graf 28 + 29 '!$A$41</c:f>
              <c:strCache>
                <c:ptCount val="1"/>
                <c:pt idx="0">
                  <c:v>SP 2017-2020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ln>
                <a:noFill/>
              </a:ln>
            </c:spPr>
          </c:marker>
          <c:cat>
            <c:numRef>
              <c:f>'Graf 28 + 29 '!$I$40:$K$40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'Graf 28 + 29 '!$I$41:$K$41</c:f>
              <c:numCache>
                <c:formatCode>0.00</c:formatCode>
                <c:ptCount val="3"/>
                <c:pt idx="0">
                  <c:v>0.59876946385457219</c:v>
                </c:pt>
                <c:pt idx="1">
                  <c:v>0.63319657685728847</c:v>
                </c:pt>
                <c:pt idx="2">
                  <c:v>0.401348364868858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28 + 29 '!$A$42</c:f>
              <c:strCache>
                <c:ptCount val="1"/>
                <c:pt idx="0">
                  <c:v>SP 2016-2019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ysClr val="window" lastClr="FFFFFF">
                  <a:lumMod val="85000"/>
                </a:sysClr>
              </a:solidFill>
              <a:ln>
                <a:noFill/>
              </a:ln>
            </c:spPr>
          </c:marker>
          <c:val>
            <c:numRef>
              <c:f>'Graf 28 + 29 '!$I$42:$J$42</c:f>
              <c:numCache>
                <c:formatCode>0.00</c:formatCode>
                <c:ptCount val="2"/>
                <c:pt idx="0">
                  <c:v>0.37382481904528503</c:v>
                </c:pt>
                <c:pt idx="1">
                  <c:v>0.12477277217213759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147528"/>
        <c:axId val="659147920"/>
      </c:lineChart>
      <c:catAx>
        <c:axId val="65914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59147920"/>
        <c:crosses val="autoZero"/>
        <c:auto val="1"/>
        <c:lblAlgn val="ctr"/>
        <c:lblOffset val="100"/>
        <c:noMultiLvlLbl val="0"/>
      </c:catAx>
      <c:valAx>
        <c:axId val="659147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crossAx val="65914752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6244080601036"/>
          <c:y val="5.0925925925925923E-2"/>
          <c:w val="0.85183685372661755"/>
          <c:h val="0.78625765529308833"/>
        </c:manualLayout>
      </c:layout>
      <c:lineChart>
        <c:grouping val="standard"/>
        <c:varyColors val="0"/>
        <c:ser>
          <c:idx val="2"/>
          <c:order val="0"/>
          <c:tx>
            <c:strRef>
              <c:f>'Graf 5+6'!$H$12</c:f>
              <c:strCache>
                <c:ptCount val="1"/>
                <c:pt idx="0">
                  <c:v>Inflačný cieľ ECB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5+6'!$I$9:$AT$9</c:f>
              <c:numCache>
                <c:formatCode>m/d/yyyy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5+6'!$I$12:$AT$12</c:f>
              <c:numCache>
                <c:formatCode>0.00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'Graf 5+6'!$H$10</c:f>
              <c:strCache>
                <c:ptCount val="1"/>
                <c:pt idx="0">
                  <c:v>Inflácia v eurozóne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5+6'!$I$9:$AT$9</c:f>
              <c:numCache>
                <c:formatCode>m/d/yyyy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5+6'!$I$10:$AT$10</c:f>
              <c:numCache>
                <c:formatCode>#\ ##0.0</c:formatCode>
                <c:ptCount val="38"/>
                <c:pt idx="0">
                  <c:v>0.8</c:v>
                </c:pt>
                <c:pt idx="1">
                  <c:v>0.7</c:v>
                </c:pt>
                <c:pt idx="2">
                  <c:v>0.5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0.4</c:v>
                </c:pt>
                <c:pt idx="10">
                  <c:v>0.3</c:v>
                </c:pt>
                <c:pt idx="11">
                  <c:v>-0.2</c:v>
                </c:pt>
                <c:pt idx="12">
                  <c:v>-0.6</c:v>
                </c:pt>
                <c:pt idx="13">
                  <c:v>-0.3</c:v>
                </c:pt>
                <c:pt idx="14">
                  <c:v>-0.1</c:v>
                </c:pt>
                <c:pt idx="15">
                  <c:v>0</c:v>
                </c:pt>
                <c:pt idx="16">
                  <c:v>0.3</c:v>
                </c:pt>
                <c:pt idx="17">
                  <c:v>0.2</c:v>
                </c:pt>
                <c:pt idx="18">
                  <c:v>0.2</c:v>
                </c:pt>
                <c:pt idx="19">
                  <c:v>0.1</c:v>
                </c:pt>
                <c:pt idx="20">
                  <c:v>-0.1</c:v>
                </c:pt>
                <c:pt idx="21">
                  <c:v>0.1</c:v>
                </c:pt>
                <c:pt idx="22">
                  <c:v>0.1</c:v>
                </c:pt>
                <c:pt idx="23">
                  <c:v>0.2</c:v>
                </c:pt>
                <c:pt idx="24">
                  <c:v>0.3</c:v>
                </c:pt>
                <c:pt idx="25">
                  <c:v>-0.2</c:v>
                </c:pt>
                <c:pt idx="26">
                  <c:v>0</c:v>
                </c:pt>
                <c:pt idx="27">
                  <c:v>-0.2</c:v>
                </c:pt>
                <c:pt idx="28">
                  <c:v>-0.1</c:v>
                </c:pt>
                <c:pt idx="29">
                  <c:v>0.1</c:v>
                </c:pt>
                <c:pt idx="30">
                  <c:v>0.2</c:v>
                </c:pt>
                <c:pt idx="31">
                  <c:v>0.2</c:v>
                </c:pt>
                <c:pt idx="32">
                  <c:v>0.4</c:v>
                </c:pt>
                <c:pt idx="33">
                  <c:v>0.5</c:v>
                </c:pt>
                <c:pt idx="34">
                  <c:v>0.6</c:v>
                </c:pt>
                <c:pt idx="35">
                  <c:v>1.1000000000000001</c:v>
                </c:pt>
                <c:pt idx="36">
                  <c:v>1.8</c:v>
                </c:pt>
                <c:pt idx="37">
                  <c:v>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'Graf 5+6'!$H$11</c:f>
              <c:strCache>
                <c:ptCount val="1"/>
                <c:pt idx="0">
                  <c:v>Inflačné očakávania v roku 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5+6'!$I$9:$AT$9</c:f>
              <c:numCache>
                <c:formatCode>m/d/yyyy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5+6'!$I$11:$AT$11</c:f>
              <c:numCache>
                <c:formatCode>0.00</c:formatCode>
                <c:ptCount val="38"/>
                <c:pt idx="0">
                  <c:v>2.1150000000000002</c:v>
                </c:pt>
                <c:pt idx="1">
                  <c:v>2.1288</c:v>
                </c:pt>
                <c:pt idx="2">
                  <c:v>2.1103999999999998</c:v>
                </c:pt>
                <c:pt idx="3">
                  <c:v>2.069</c:v>
                </c:pt>
                <c:pt idx="4">
                  <c:v>2.048</c:v>
                </c:pt>
                <c:pt idx="5">
                  <c:v>2.137</c:v>
                </c:pt>
                <c:pt idx="6">
                  <c:v>2.1019999999999999</c:v>
                </c:pt>
                <c:pt idx="7">
                  <c:v>2.0125000000000002</c:v>
                </c:pt>
                <c:pt idx="8">
                  <c:v>1.9370000000000001</c:v>
                </c:pt>
                <c:pt idx="9">
                  <c:v>1.8325</c:v>
                </c:pt>
                <c:pt idx="10">
                  <c:v>1.7605</c:v>
                </c:pt>
                <c:pt idx="11">
                  <c:v>1.7269999999999999</c:v>
                </c:pt>
                <c:pt idx="12">
                  <c:v>1.575</c:v>
                </c:pt>
                <c:pt idx="13">
                  <c:v>1.6175000000000002</c:v>
                </c:pt>
                <c:pt idx="14">
                  <c:v>1.635</c:v>
                </c:pt>
                <c:pt idx="15">
                  <c:v>1.7650000000000001</c:v>
                </c:pt>
                <c:pt idx="16">
                  <c:v>1.722</c:v>
                </c:pt>
                <c:pt idx="17">
                  <c:v>1.845</c:v>
                </c:pt>
                <c:pt idx="18">
                  <c:v>1.77</c:v>
                </c:pt>
                <c:pt idx="19">
                  <c:v>1.677</c:v>
                </c:pt>
                <c:pt idx="20">
                  <c:v>1.56</c:v>
                </c:pt>
                <c:pt idx="21">
                  <c:v>1.7149999999999999</c:v>
                </c:pt>
                <c:pt idx="22">
                  <c:v>1.7925</c:v>
                </c:pt>
                <c:pt idx="23">
                  <c:v>1.6825000000000001</c:v>
                </c:pt>
                <c:pt idx="24">
                  <c:v>1.5150000000000001</c:v>
                </c:pt>
                <c:pt idx="25">
                  <c:v>1.361</c:v>
                </c:pt>
                <c:pt idx="26">
                  <c:v>1.407</c:v>
                </c:pt>
                <c:pt idx="27">
                  <c:v>1.4710000000000001</c:v>
                </c:pt>
                <c:pt idx="28">
                  <c:v>1.4750000000000001</c:v>
                </c:pt>
                <c:pt idx="29">
                  <c:v>1.3180000000000001</c:v>
                </c:pt>
                <c:pt idx="30">
                  <c:v>1.3395999999999999</c:v>
                </c:pt>
                <c:pt idx="31">
                  <c:v>1.302</c:v>
                </c:pt>
                <c:pt idx="32">
                  <c:v>1.355</c:v>
                </c:pt>
                <c:pt idx="33">
                  <c:v>1.4647000000000001</c:v>
                </c:pt>
                <c:pt idx="34">
                  <c:v>1.619</c:v>
                </c:pt>
                <c:pt idx="35">
                  <c:v>1.7435</c:v>
                </c:pt>
                <c:pt idx="36">
                  <c:v>1.8</c:v>
                </c:pt>
                <c:pt idx="37">
                  <c:v>1.696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090704"/>
        <c:axId val="617091096"/>
      </c:lineChart>
      <c:dateAx>
        <c:axId val="61709070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7091096"/>
        <c:crosses val="autoZero"/>
        <c:auto val="1"/>
        <c:lblOffset val="100"/>
        <c:baseTimeUnit val="months"/>
      </c:dateAx>
      <c:valAx>
        <c:axId val="61709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709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910913913538588E-2"/>
          <c:y val="0.58738261883931175"/>
          <c:w val="0.61384660250801981"/>
          <c:h val="0.24595071449402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15910018777131E-2"/>
          <c:y val="3.6702577156306072E-2"/>
          <c:w val="0.91507149165482005"/>
          <c:h val="0.9107416742931414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Pt>
            <c:idx val="1"/>
            <c:bubble3D val="0"/>
            <c:spPr>
              <a:ln w="28575"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3.8929440389294405E-2"/>
                  <c:y val="4.607630344692472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0419131C-DFC3-4C9E-8951-F2B06579C09F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6F536DB-348D-4DB2-8797-6AC55F3B474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B9320F5-AAA0-4D63-8D08-8E15E1ED60B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394FB30-2955-454F-81EE-839DABC3D4A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CC57CE8-D11F-4369-919F-545F2FDCAB3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988954B-758F-4044-9433-7EC4748A28B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>
                <c:manualLayout>
                  <c:x val="-0.13625304136253047"/>
                  <c:y val="-1.7278613792596771E-2"/>
                </c:manualLayout>
              </c:layout>
              <c:tx>
                <c:rich>
                  <a:bodyPr/>
                  <a:lstStyle/>
                  <a:p>
                    <a:fld id="{D9A191A1-D3FC-4584-8B84-E6322317BA2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9EA5FECE-9312-4A46-8A74-948130716D93}" type="CELLRANGE">
                      <a:rPr lang="sk-SK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>
                <c:manualLayout>
                  <c:x val="-5.8394160583941604E-2"/>
                  <c:y val="-3.743699655062633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2A360B26-B8A1-4A0A-82E8-0DA638208221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-6.4882400648824008E-3"/>
                  <c:y val="-3.167745861976074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239B6397-F8BC-49FE-A779-EB582294EB5B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1.6220600162206E-2"/>
                  <c:y val="2.591792068889515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2EF11A44-4A42-43D5-AFE4-21600900C7F1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xVal>
            <c:numRef>
              <c:f>'Graf 30 + 31; tab 19'!$C$8:$M$8</c:f>
              <c:numCache>
                <c:formatCode>0.0</c:formatCode>
                <c:ptCount val="11"/>
                <c:pt idx="0">
                  <c:v>-0.43078899999999998</c:v>
                </c:pt>
                <c:pt idx="1">
                  <c:v>-1.0340959999999999</c:v>
                </c:pt>
                <c:pt idx="2">
                  <c:v>-1.8987639999999999</c:v>
                </c:pt>
                <c:pt idx="3">
                  <c:v>-2.5389020000000002</c:v>
                </c:pt>
                <c:pt idx="4">
                  <c:v>-1.9798359999999999</c:v>
                </c:pt>
                <c:pt idx="5">
                  <c:v>-1.0753410000000001</c:v>
                </c:pt>
                <c:pt idx="6">
                  <c:v>-0.63608799999999999</c:v>
                </c:pt>
                <c:pt idx="7">
                  <c:v>-0.57840599999999998</c:v>
                </c:pt>
                <c:pt idx="8">
                  <c:v>-0.24182000000000001</c:v>
                </c:pt>
                <c:pt idx="9">
                  <c:v>0.61026499999999995</c:v>
                </c:pt>
                <c:pt idx="10">
                  <c:v>0.92914399999999997</c:v>
                </c:pt>
              </c:numCache>
            </c:numRef>
          </c:xVal>
          <c:yVal>
            <c:numRef>
              <c:f>'Graf 30 + 31; tab 19'!$C$7:$M$7</c:f>
              <c:numCache>
                <c:formatCode>0.00</c:formatCode>
                <c:ptCount val="11"/>
                <c:pt idx="0">
                  <c:v>-9.6281811955369001E-2</c:v>
                </c:pt>
                <c:pt idx="1">
                  <c:v>2.6268161733549951</c:v>
                </c:pt>
                <c:pt idx="2">
                  <c:v>0.91238307405790131</c:v>
                </c:pt>
                <c:pt idx="3">
                  <c:v>2.0171167063564566</c:v>
                </c:pt>
                <c:pt idx="4">
                  <c:v>-0.4642559987469268</c:v>
                </c:pt>
                <c:pt idx="5">
                  <c:v>-0.25172004362988165</c:v>
                </c:pt>
                <c:pt idx="6">
                  <c:v>0.83396840667876249</c:v>
                </c:pt>
                <c:pt idx="7">
                  <c:v>2.9977472872833255E-2</c:v>
                </c:pt>
                <c:pt idx="8">
                  <c:v>0.57233861352589144</c:v>
                </c:pt>
                <c:pt idx="9">
                  <c:v>7.4811867496067053E-2</c:v>
                </c:pt>
                <c:pt idx="10">
                  <c:v>-0.23571091752835271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{"2010"\"2011"\"2012"\"2013"\"2014"\"2015"\"2016"\"2017"\"2018"\"2019"\"2020"}</c15:f>
                <c15:dlblRangeCache>
                  <c:ptCount val="11"/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59148704"/>
        <c:axId val="659149096"/>
      </c:scatterChart>
      <c:valAx>
        <c:axId val="65914870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659149096"/>
        <c:crossesAt val="0"/>
        <c:crossBetween val="midCat"/>
      </c:valAx>
      <c:valAx>
        <c:axId val="65914909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6591487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75617470893064E-2"/>
          <c:y val="7.8792141273602942E-2"/>
          <c:w val="0.91507147505256647"/>
          <c:h val="0.89922268458854959"/>
        </c:manualLayout>
      </c:layout>
      <c:scatterChart>
        <c:scatterStyle val="smoothMarker"/>
        <c:varyColors val="0"/>
        <c:ser>
          <c:idx val="0"/>
          <c:order val="0"/>
          <c:spPr>
            <a:ln w="28575">
              <a:solidFill>
                <a:schemeClr val="accent1"/>
              </a:solidFill>
              <a:prstDash val="solid"/>
            </a:ln>
            <a:effectLst>
              <a:glow>
                <a:schemeClr val="accent1"/>
              </a:glow>
            </a:effectLst>
          </c:spPr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Lbls>
            <c:dLbl>
              <c:idx val="0"/>
              <c:layout>
                <c:manualLayout>
                  <c:x val="-8.5287865573788098E-3"/>
                  <c:y val="3.6866359447004497E-2"/>
                </c:manualLayout>
              </c:layout>
              <c:tx>
                <c:rich>
                  <a:bodyPr/>
                  <a:lstStyle/>
                  <a:p>
                    <a:fld id="{2ABDF3D1-B2D8-4F32-A222-5AF5A03BA48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5D8A513-0F37-4FCA-AD23-EB711F3124D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67BB809-0265-44BE-ACA0-27519DFCFF3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6469478-6F66-4F74-A485-B3FABA77A5A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>
                <c:manualLayout>
                  <c:x val="2.8429288524596034E-2"/>
                  <c:y val="4.6082949308755651E-2"/>
                </c:manualLayout>
              </c:layout>
              <c:tx>
                <c:rich>
                  <a:bodyPr/>
                  <a:lstStyle/>
                  <a:p>
                    <a:fld id="{33BE0811-6209-4E30-B4F6-207DF35AE40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DA153F8-1551-47C5-922B-C52357AD71D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>
                <c:manualLayout>
                  <c:x val="-1.705757311475762E-2"/>
                  <c:y val="-5.5299539170507027E-2"/>
                </c:manualLayout>
              </c:layout>
              <c:tx>
                <c:rich>
                  <a:bodyPr/>
                  <a:lstStyle/>
                  <a:p>
                    <a:fld id="{4D4FDF22-417A-416E-A68F-245E23AB193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0.12508886950822257"/>
                  <c:y val="-9.2165898617511521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E7A2E1AA-4153-49B4-B846-701B6158B5C4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9.3816652131166869E-2"/>
                  <c:y val="-3.379416282642089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CF1F9D94-609A-415B-9955-0F7E5A46C994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8.5287865573788098E-3"/>
                  <c:y val="-2.764976958525345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BAD59ED4-9FFC-4820-8402-F41CB5669207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5.9701505901651672E-2"/>
                  <c:y val="5.222734254992319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F707D16F-2177-43B5-9061-9DB7CC461A7B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xVal>
            <c:numRef>
              <c:f>'Graf 30 + 31; tab 19'!$C$9:$M$9</c:f>
              <c:numCache>
                <c:formatCode>0.0</c:formatCode>
                <c:ptCount val="11"/>
                <c:pt idx="0">
                  <c:v>1.5776440000000003</c:v>
                </c:pt>
                <c:pt idx="1">
                  <c:v>-0.60330699999999993</c:v>
                </c:pt>
                <c:pt idx="2">
                  <c:v>-0.86466799999999999</c:v>
                </c:pt>
                <c:pt idx="3">
                  <c:v>-0.64013800000000032</c:v>
                </c:pt>
                <c:pt idx="4">
                  <c:v>0.55906600000000028</c:v>
                </c:pt>
                <c:pt idx="5">
                  <c:v>0.90449499999999983</c:v>
                </c:pt>
                <c:pt idx="6">
                  <c:v>0.43925300000000012</c:v>
                </c:pt>
                <c:pt idx="7">
                  <c:v>5.7682000000000011E-2</c:v>
                </c:pt>
                <c:pt idx="8">
                  <c:v>0.33658599999999994</c:v>
                </c:pt>
                <c:pt idx="9">
                  <c:v>0.85208499999999998</c:v>
                </c:pt>
                <c:pt idx="10">
                  <c:v>0.31887900000000002</c:v>
                </c:pt>
              </c:numCache>
            </c:numRef>
          </c:xVal>
          <c:yVal>
            <c:numRef>
              <c:f>'Graf 30 + 31; tab 19'!$C$7:$M$7</c:f>
              <c:numCache>
                <c:formatCode>0.00</c:formatCode>
                <c:ptCount val="11"/>
                <c:pt idx="0">
                  <c:v>-9.6281811955369001E-2</c:v>
                </c:pt>
                <c:pt idx="1">
                  <c:v>2.6268161733549951</c:v>
                </c:pt>
                <c:pt idx="2">
                  <c:v>0.91238307405790131</c:v>
                </c:pt>
                <c:pt idx="3">
                  <c:v>2.0171167063564566</c:v>
                </c:pt>
                <c:pt idx="4">
                  <c:v>-0.4642559987469268</c:v>
                </c:pt>
                <c:pt idx="5">
                  <c:v>-0.25172004362988165</c:v>
                </c:pt>
                <c:pt idx="6">
                  <c:v>0.83396840667876249</c:v>
                </c:pt>
                <c:pt idx="7">
                  <c:v>2.9977472872833255E-2</c:v>
                </c:pt>
                <c:pt idx="8">
                  <c:v>0.57233861352589144</c:v>
                </c:pt>
                <c:pt idx="9">
                  <c:v>7.4811867496067053E-2</c:v>
                </c:pt>
                <c:pt idx="10">
                  <c:v>-0.23571091752835271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{"2010"\"2011"\"2012"\"2013"\"2014"\"2015"\"2016"\"2017"\"2018"\"2019"\"2020"}</c15:f>
                <c15:dlblRangeCache>
                  <c:ptCount val="11"/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43579552"/>
        <c:axId val="543579944"/>
      </c:scatterChart>
      <c:valAx>
        <c:axId val="54357955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43579944"/>
        <c:crossesAt val="0"/>
        <c:crossBetween val="midCat"/>
      </c:valAx>
      <c:valAx>
        <c:axId val="54357994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435795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5"/>
          <c:order val="15"/>
          <c:tx>
            <c:v>Odchýlka od výdavkového pravidla</c:v>
          </c:tx>
          <c:spPr>
            <a:solidFill>
              <a:srgbClr val="B0D6AF"/>
            </a:solidFill>
            <a:ln>
              <a:noFill/>
            </a:ln>
            <a:effectLst/>
          </c:spPr>
          <c:invertIfNegative val="1"/>
          <c:dPt>
            <c:idx val="2"/>
            <c:invertIfNegative val="0"/>
            <c:bubble3D val="0"/>
          </c:dPt>
          <c:dPt>
            <c:idx val="3"/>
            <c:invertIfNegative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-3.7558685446009389E-3"/>
                  <c:y val="0.280839895013123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428397272392094E-17"/>
                  <c:y val="8.11983117494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3.850595598627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771358908956837E-16"/>
                  <c:y val="0.13667906095071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0.137769757946923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0.169048191892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32 '!$C$4:$I$4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OS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strCache>
            </c:strRef>
          </c:cat>
          <c:val>
            <c:numRef>
              <c:f>'Graf 32 '!$C$23:$I$23</c:f>
              <c:numCache>
                <c:formatCode>0.00</c:formatCode>
                <c:ptCount val="7"/>
                <c:pt idx="0">
                  <c:v>1.176243187033565</c:v>
                </c:pt>
                <c:pt idx="1">
                  <c:v>-1.204879732209142</c:v>
                </c:pt>
                <c:pt idx="2">
                  <c:v>0.56663169125492052</c:v>
                </c:pt>
                <c:pt idx="3">
                  <c:v>-8.8886554700722792E-2</c:v>
                </c:pt>
                <c:pt idx="4">
                  <c:v>0.18827633521357495</c:v>
                </c:pt>
                <c:pt idx="5">
                  <c:v>0.50289149892502549</c:v>
                </c:pt>
                <c:pt idx="6">
                  <c:v>0.32688058138415221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9C9BA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580728"/>
        <c:axId val="543581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 32 '!$A$5:$B$5</c15:sqref>
                        </c15:formulaRef>
                      </c:ext>
                    </c:extLst>
                    <c:strCache>
                      <c:ptCount val="2"/>
                      <c:pt idx="0">
                        <c:v>1.   Celkové výdavky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 32 '!$C$5:$I$5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31910.616000000002</c:v>
                      </c:pt>
                      <c:pt idx="1">
                        <c:v>35850.418999999994</c:v>
                      </c:pt>
                      <c:pt idx="2">
                        <c:v>33706.260999999999</c:v>
                      </c:pt>
                      <c:pt idx="3">
                        <c:v>34615.375</c:v>
                      </c:pt>
                      <c:pt idx="4">
                        <c:v>35027.787000000004</c:v>
                      </c:pt>
                      <c:pt idx="5">
                        <c:v>36677.885000000002</c:v>
                      </c:pt>
                      <c:pt idx="6">
                        <c:v>38233.161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'!$A$6:$B$6</c15:sqref>
                        </c15:formulaRef>
                      </c:ext>
                    </c:extLst>
                    <c:strCache>
                      <c:ptCount val="2"/>
                      <c:pt idx="0">
                        <c:v>2.   Úrokové náklady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'!$C$6:$I$6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1443.6010000000001</c:v>
                      </c:pt>
                      <c:pt idx="1">
                        <c:v>1379.4069999999999</c:v>
                      </c:pt>
                      <c:pt idx="2">
                        <c:v>1338.721</c:v>
                      </c:pt>
                      <c:pt idx="3">
                        <c:v>1106.2400000000002</c:v>
                      </c:pt>
                      <c:pt idx="4">
                        <c:v>1137.1390000000001</c:v>
                      </c:pt>
                      <c:pt idx="5">
                        <c:v>1124.4100000000001</c:v>
                      </c:pt>
                      <c:pt idx="6">
                        <c:v>1080.24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'!$A$7:$B$7</c15:sqref>
                        </c15:formulaRef>
                      </c:ext>
                    </c:extLst>
                    <c:strCache>
                      <c:ptCount val="2"/>
                      <c:pt idx="0">
                        <c:v>3.   Výdavky kryté EU (kapitálové)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'!$C$7:$I$7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971</c:v>
                      </c:pt>
                      <c:pt idx="1">
                        <c:v>2345</c:v>
                      </c:pt>
                      <c:pt idx="2">
                        <c:v>506.88200000000001</c:v>
                      </c:pt>
                      <c:pt idx="3">
                        <c:v>651.5</c:v>
                      </c:pt>
                      <c:pt idx="4">
                        <c:v>427.31700000000001</c:v>
                      </c:pt>
                      <c:pt idx="5">
                        <c:v>591.14499999999998</c:v>
                      </c:pt>
                      <c:pt idx="6">
                        <c:v>591.14499999999998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'!$A$8:$B$8</c15:sqref>
                        </c15:formulaRef>
                      </c:ext>
                    </c:extLst>
                    <c:strCache>
                      <c:ptCount val="2"/>
                      <c:pt idx="0">
                        <c:v>3a. Výdavky kryté EÚ zdrojmi (celkové)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'!$C$8:$I$8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1281</c:v>
                      </c:pt>
                      <c:pt idx="1">
                        <c:v>2789</c:v>
                      </c:pt>
                      <c:pt idx="2">
                        <c:v>796.34500000000003</c:v>
                      </c:pt>
                      <c:pt idx="3">
                        <c:v>999.94100000000003</c:v>
                      </c:pt>
                      <c:pt idx="4">
                        <c:v>791.82600000000002</c:v>
                      </c:pt>
                      <c:pt idx="5">
                        <c:v>1375</c:v>
                      </c:pt>
                      <c:pt idx="6">
                        <c:v>1332.694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'!$A$9:$B$9</c15:sqref>
                        </c15:formulaRef>
                      </c:ext>
                    </c:extLst>
                    <c:strCache>
                      <c:ptCount val="2"/>
                      <c:pt idx="0">
                        <c:v>4.   Kapitálové výdavky kryté národnými zdrojmi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'!$C$9:$I$9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2052.41</c:v>
                      </c:pt>
                      <c:pt idx="1">
                        <c:v>2605.6450000000004</c:v>
                      </c:pt>
                      <c:pt idx="2">
                        <c:v>2091.36</c:v>
                      </c:pt>
                      <c:pt idx="3">
                        <c:v>2110.3669999999997</c:v>
                      </c:pt>
                      <c:pt idx="4">
                        <c:v>1981.4610000000002</c:v>
                      </c:pt>
                      <c:pt idx="5">
                        <c:v>1846.7190000000001</c:v>
                      </c:pt>
                      <c:pt idx="6">
                        <c:v>2269.4499999999998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'!$A$10:$B$10</c15:sqref>
                        </c15:formulaRef>
                      </c:ext>
                    </c:extLst>
                    <c:strCache>
                      <c:ptCount val="2"/>
                      <c:pt idx="0">
                        <c:v>5.   Vyhladené kapitálové výdavky (nár. zdroje 4-ročný pohyblivý priemer)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'!$C$10:$I$10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1747.7649999999999</c:v>
                      </c:pt>
                      <c:pt idx="1">
                        <c:v>1944.4865</c:v>
                      </c:pt>
                      <c:pt idx="2">
                        <c:v>2061.3737500000002</c:v>
                      </c:pt>
                      <c:pt idx="3">
                        <c:v>2214.9455000000003</c:v>
                      </c:pt>
                      <c:pt idx="4">
                        <c:v>2197.2082500000006</c:v>
                      </c:pt>
                      <c:pt idx="5">
                        <c:v>2007.47675</c:v>
                      </c:pt>
                      <c:pt idx="6">
                        <c:v>2051.9992499999998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'!$A$11:$B$11</c15:sqref>
                        </c15:formulaRef>
                      </c:ext>
                    </c:extLst>
                    <c:strCache>
                      <c:ptCount val="2"/>
                      <c:pt idx="0">
                        <c:v>6.   Cyklické výdavky na dávky v nezamestnanosti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'!$C$11:$I$11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17.408382699769074</c:v>
                      </c:pt>
                      <c:pt idx="1">
                        <c:v>9.7963379838900941</c:v>
                      </c:pt>
                      <c:pt idx="2">
                        <c:v>5.9620998554370859</c:v>
                      </c:pt>
                      <c:pt idx="3">
                        <c:v>5.6640167413875808</c:v>
                      </c:pt>
                      <c:pt idx="4">
                        <c:v>2.5015770559276929</c:v>
                      </c:pt>
                      <c:pt idx="5">
                        <c:v>-6.7173538624445461</c:v>
                      </c:pt>
                      <c:pt idx="6">
                        <c:v>-10.835860583369183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'!$A$12:$B$12</c15:sqref>
                        </c15:formulaRef>
                      </c:ext>
                    </c:extLst>
                    <c:strCache>
                      <c:ptCount val="2"/>
                      <c:pt idx="0">
                        <c:v>7.   Výdavky plne kryté automatickým zvýšením príjmov 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'!$C$12:$I$12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'!$A$13:$B$13</c15:sqref>
                        </c15:formulaRef>
                      </c:ext>
                    </c:extLst>
                    <c:strCache>
                      <c:ptCount val="2"/>
                      <c:pt idx="0">
                        <c:v>8.   Primárny výdavkový agregát (1-2-3a-4+5-6-7)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'!$C$13:$I$13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28863.961617300232</c:v>
                      </c:pt>
                      <c:pt idx="1">
                        <c:v>31011.057162016103</c:v>
                      </c:pt>
                      <c:pt idx="2">
                        <c:v>31535.246650144556</c:v>
                      </c:pt>
                      <c:pt idx="3">
                        <c:v>32608.10848325862</c:v>
                      </c:pt>
                      <c:pt idx="4">
                        <c:v>33312.067672944075</c:v>
                      </c:pt>
                      <c:pt idx="5">
                        <c:v>34345.950103862437</c:v>
                      </c:pt>
                      <c:pt idx="6">
                        <c:v>35613.612110583374</c:v>
                      </c:pt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'!$A$14:$B$14</c15:sqref>
                        </c15:formulaRef>
                      </c:ext>
                    </c:extLst>
                    <c:strCache>
                      <c:ptCount val="2"/>
                      <c:pt idx="0">
                        <c:v>9.  Medziročná zmena primárneho výdavkového agregátu (8t-8t-1)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'!$C$14:$I$14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559.14608660248632</c:v>
                      </c:pt>
                      <c:pt idx="1">
                        <c:v>2147.0955447158703</c:v>
                      </c:pt>
                      <c:pt idx="2">
                        <c:v>524.18948812845338</c:v>
                      </c:pt>
                      <c:pt idx="3">
                        <c:v>1072.8618331140642</c:v>
                      </c:pt>
                      <c:pt idx="4">
                        <c:v>703.95918968545448</c:v>
                      </c:pt>
                      <c:pt idx="5">
                        <c:v>1033.8824309183619</c:v>
                      </c:pt>
                      <c:pt idx="6">
                        <c:v>1267.6620067209369</c:v>
                      </c:pt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'!$A$18:$B$18</c15:sqref>
                        </c15:formulaRef>
                      </c:ext>
                    </c:extLst>
                    <c:strCache>
                      <c:ptCount val="2"/>
                      <c:pt idx="0">
                        <c:v>13. Metodické úpravy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'!$C$18:$F$18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-33.5</c:v>
                      </c:pt>
                      <c:pt idx="3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'!$A$19:$B$19</c15:sqref>
                        </c15:formulaRef>
                      </c:ext>
                    </c:extLst>
                    <c:strCache>
                      <c:ptCount val="2"/>
                      <c:pt idx="0">
                        <c:v>11. Nominálny rast agregátu výdavkov očisteného o príjmové opatrenia ((8t-9t)/7t-1)</c:v>
                      </c:pt>
                      <c:pt idx="1">
                        <c:v>%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'!$C$19:$I$19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2.8159452199573405</c:v>
                      </c:pt>
                      <c:pt idx="1">
                        <c:v>6.9585310516924892</c:v>
                      </c:pt>
                      <c:pt idx="2">
                        <c:v>1.9075115209326068</c:v>
                      </c:pt>
                      <c:pt idx="3">
                        <c:v>2.7660271332924768</c:v>
                      </c:pt>
                      <c:pt idx="4">
                        <c:v>2.3445818313359115</c:v>
                      </c:pt>
                      <c:pt idx="5">
                        <c:v>3.1542354529735341</c:v>
                      </c:pt>
                      <c:pt idx="6">
                        <c:v>3.7414200171437546</c:v>
                      </c:pt>
                    </c:numCache>
                  </c:numRef>
                </c:val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'!$A$20:$B$20</c15:sqref>
                        </c15:formulaRef>
                      </c:ext>
                    </c:extLst>
                    <c:strCache>
                      <c:ptCount val="2"/>
                      <c:pt idx="0">
                        <c:v>12. Reálny rast agregátu výdavkov očisteného o príjmové opatrenia </c:v>
                      </c:pt>
                      <c:pt idx="1">
                        <c:v>%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'!$C$20:$I$20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0.91072773726512679</c:v>
                      </c:pt>
                      <c:pt idx="1">
                        <c:v>6.2125108845955346</c:v>
                      </c:pt>
                      <c:pt idx="2">
                        <c:v>0.73685405076342469</c:v>
                      </c:pt>
                      <c:pt idx="3">
                        <c:v>1.5864067897754852</c:v>
                      </c:pt>
                      <c:pt idx="4">
                        <c:v>0.8321003264393223</c:v>
                      </c:pt>
                      <c:pt idx="5">
                        <c:v>1.169650449966686</c:v>
                      </c:pt>
                      <c:pt idx="6">
                        <c:v>1.6462335492885449</c:v>
                      </c:pt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'!$A$21:$B$21</c15:sqref>
                        </c15:formulaRef>
                      </c:ext>
                    </c:extLst>
                    <c:strCache>
                      <c:ptCount val="2"/>
                      <c:pt idx="0">
                        <c:v>13. Výdavkové pravidlo (znížená referenčná miera pot. rastu HDP)</c:v>
                      </c:pt>
                      <c:pt idx="1">
                        <c:v>p.b.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'!$C$21:$I$21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4.0667768292251738</c:v>
                      </c:pt>
                      <c:pt idx="1">
                        <c:v>2.9279065204139698</c:v>
                      </c:pt>
                      <c:pt idx="2">
                        <c:v>2.2161125774069674</c:v>
                      </c:pt>
                      <c:pt idx="3">
                        <c:v>1.3480051001340336</c:v>
                      </c:pt>
                      <c:pt idx="4">
                        <c:v>1.3480051001340336</c:v>
                      </c:pt>
                      <c:pt idx="5">
                        <c:v>2.6049092470555451</c:v>
                      </c:pt>
                      <c:pt idx="6">
                        <c:v>2.6049092470555451</c:v>
                      </c:pt>
                    </c:numCache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'!$A$22:$B$22</c15:sqref>
                        </c15:formulaRef>
                      </c:ext>
                    </c:extLst>
                    <c:strCache>
                      <c:ptCount val="2"/>
                      <c:pt idx="0">
                        <c:v>14. Odchýlka od výdavkového pravidla (13-12)</c:v>
                      </c:pt>
                      <c:pt idx="1">
                        <c:v>p.b.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'!$C$22:$I$22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3.156049091960047</c:v>
                      </c:pt>
                      <c:pt idx="1">
                        <c:v>-3.2846043641815648</c:v>
                      </c:pt>
                      <c:pt idx="2">
                        <c:v>1.4792585266435427</c:v>
                      </c:pt>
                      <c:pt idx="3">
                        <c:v>-0.23840168964145159</c:v>
                      </c:pt>
                      <c:pt idx="4">
                        <c:v>0.51590477369471133</c:v>
                      </c:pt>
                      <c:pt idx="5">
                        <c:v>1.4352587970888591</c:v>
                      </c:pt>
                      <c:pt idx="6">
                        <c:v>0.95867569776700012</c:v>
                      </c:pt>
                    </c:numCache>
                  </c:numRef>
                </c:val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'!$A$25:$B$25</c15:sqref>
                        </c15:formulaRef>
                      </c:ext>
                    </c:extLst>
                    <c:strCache>
                      <c:ptCount val="2"/>
                      <c:pt idx="0">
                        <c:v>p. m. deflátor HDP</c:v>
                      </c:pt>
                      <c:pt idx="1">
                        <c:v>%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'!$C$4:$I$4</c15:sqref>
                        </c15:formulaRef>
                      </c:ext>
                    </c:extLst>
                    <c:strCache>
                      <c:ptCount val="7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 OS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32 '!$C$25:$I$25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1.8880227359500346</c:v>
                      </c:pt>
                      <c:pt idx="1">
                        <c:v>0.70238445629776658</c:v>
                      </c:pt>
                      <c:pt idx="2">
                        <c:v>1.16209452955444</c:v>
                      </c:pt>
                      <c:pt idx="3">
                        <c:v>1.1611990036798137</c:v>
                      </c:pt>
                      <c:pt idx="4">
                        <c:v>1.5</c:v>
                      </c:pt>
                      <c:pt idx="5">
                        <c:v>1.9616406641518536</c:v>
                      </c:pt>
                      <c:pt idx="6">
                        <c:v>2.0612534224785151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16"/>
          <c:order val="16"/>
          <c:tx>
            <c:v>Dvojročná odchýlka od výdavkového pravidla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32 '!$C$4:$I$4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OS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strCache>
            </c:strRef>
          </c:cat>
          <c:val>
            <c:numRef>
              <c:f>'Graf 32 '!$C$24:$I$24</c:f>
              <c:numCache>
                <c:formatCode>0.00</c:formatCode>
                <c:ptCount val="7"/>
                <c:pt idx="1">
                  <c:v>-1.4318272587788505E-2</c:v>
                </c:pt>
                <c:pt idx="2">
                  <c:v>-0.31912402047711075</c:v>
                </c:pt>
                <c:pt idx="3">
                  <c:v>0.23887256827709885</c:v>
                </c:pt>
                <c:pt idx="4">
                  <c:v>4.969489025642608E-2</c:v>
                </c:pt>
                <c:pt idx="5">
                  <c:v>0.34558391706930025</c:v>
                </c:pt>
                <c:pt idx="6">
                  <c:v>0.41488604015458885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'Graf 32 '!$A$28</c:f>
              <c:strCache>
                <c:ptCount val="1"/>
                <c:pt idx="0">
                  <c:v>Limit odchýlky na 1r. horizonte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'Graf 32 '!$C$28:$I$28</c:f>
              <c:numCache>
                <c:formatCode>0.0</c:formatCode>
                <c:ptCount val="7"/>
                <c:pt idx="0" formatCode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'Graf 32 '!$A$29</c:f>
              <c:strCache>
                <c:ptCount val="1"/>
                <c:pt idx="0">
                  <c:v>Limit odchýlky na 2r. horizonte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'Graf 32 '!$C$29:$I$29</c:f>
              <c:numCache>
                <c:formatCode>0.0</c:formatCode>
                <c:ptCount val="7"/>
                <c:pt idx="0" formatCode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80728"/>
        <c:axId val="543581120"/>
      </c:lineChart>
      <c:catAx>
        <c:axId val="543580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3581120"/>
        <c:crosses val="autoZero"/>
        <c:auto val="1"/>
        <c:lblAlgn val="ctr"/>
        <c:lblOffset val="100"/>
        <c:noMultiLvlLbl val="0"/>
      </c:catAx>
      <c:valAx>
        <c:axId val="5435811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358072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514411906970982E-3"/>
          <c:y val="0.8340988626421697"/>
          <c:w val="0.99170124560822381"/>
          <c:h val="0.11821279565487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46100744256285E-2"/>
          <c:y val="9.3459516298633014E-2"/>
          <c:w val="0.9006520075401534"/>
          <c:h val="0.70947448603624863"/>
        </c:manualLayout>
      </c:layout>
      <c:barChart>
        <c:barDir val="col"/>
        <c:grouping val="clustered"/>
        <c:varyColors val="0"/>
        <c:ser>
          <c:idx val="15"/>
          <c:order val="0"/>
          <c:tx>
            <c:strRef>
              <c:f>'Graf 32 '!$A$52</c:f>
              <c:strCache>
                <c:ptCount val="1"/>
                <c:pt idx="0">
                  <c:v>Deviation from expenditure benchmark (% GDP)</c:v>
                </c:pt>
              </c:strCache>
            </c:strRef>
          </c:tx>
          <c:spPr>
            <a:solidFill>
              <a:srgbClr val="B0D6AF"/>
            </a:solidFill>
            <a:ln>
              <a:noFill/>
            </a:ln>
            <a:effectLst/>
          </c:spPr>
          <c:invertIfNegative val="1"/>
          <c:dPt>
            <c:idx val="2"/>
            <c:invertIfNegative val="0"/>
            <c:bubble3D val="0"/>
          </c:dPt>
          <c:dPt>
            <c:idx val="3"/>
            <c:invertIfNegative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-3.7558685446009389E-3"/>
                  <c:y val="0.280839895013123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428397272392094E-17"/>
                  <c:y val="8.11983117494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3.850595598627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771358908956837E-16"/>
                  <c:y val="0.13667906095071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0.137769757946923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0.169048191892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32 '!$C$33:$I$33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E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strCache>
            </c:strRef>
          </c:cat>
          <c:val>
            <c:numRef>
              <c:f>'Graf 32 '!$C$52:$I$52</c:f>
              <c:numCache>
                <c:formatCode>0.00</c:formatCode>
                <c:ptCount val="7"/>
                <c:pt idx="0">
                  <c:v>1.176243187033565</c:v>
                </c:pt>
                <c:pt idx="1">
                  <c:v>-1.204879732209142</c:v>
                </c:pt>
                <c:pt idx="2">
                  <c:v>0.56663169125492052</c:v>
                </c:pt>
                <c:pt idx="3">
                  <c:v>-8.6710781647455479E-2</c:v>
                </c:pt>
                <c:pt idx="4">
                  <c:v>0.22308078672865123</c:v>
                </c:pt>
                <c:pt idx="5">
                  <c:v>0.5339666178565986</c:v>
                </c:pt>
                <c:pt idx="6">
                  <c:v>0.34377086295749165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9C9BA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581904"/>
        <c:axId val="543582296"/>
        <c:extLst/>
      </c:barChart>
      <c:lineChart>
        <c:grouping val="standard"/>
        <c:varyColors val="0"/>
        <c:ser>
          <c:idx val="16"/>
          <c:order val="1"/>
          <c:tx>
            <c:strRef>
              <c:f>'Graf 32 '!$A$53</c:f>
              <c:strCache>
                <c:ptCount val="1"/>
                <c:pt idx="0">
                  <c:v>Two-year deviation from expenditure benchmark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32 '!$C$33:$I$33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E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strCache>
            </c:strRef>
          </c:cat>
          <c:val>
            <c:numRef>
              <c:f>'Graf 32 '!$C$53:$I$53</c:f>
              <c:numCache>
                <c:formatCode>0.00</c:formatCode>
                <c:ptCount val="7"/>
                <c:pt idx="1">
                  <c:v>-1.4318272587788505E-2</c:v>
                </c:pt>
                <c:pt idx="2">
                  <c:v>-0.31912402047711075</c:v>
                </c:pt>
                <c:pt idx="3">
                  <c:v>0.23996045480373251</c:v>
                </c:pt>
                <c:pt idx="4">
                  <c:v>6.8185002540597867E-2</c:v>
                </c:pt>
                <c:pt idx="5">
                  <c:v>0.37852370229262489</c:v>
                </c:pt>
                <c:pt idx="6">
                  <c:v>0.43886874040704515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32 '!$A$57</c:f>
              <c:strCache>
                <c:ptCount val="1"/>
                <c:pt idx="0">
                  <c:v>1y deviation limit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'Graf 32 '!$C$57:$I$57</c:f>
              <c:numCache>
                <c:formatCode>0.0</c:formatCode>
                <c:ptCount val="7"/>
                <c:pt idx="0" formatCode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'Graf 32 '!$A$58</c:f>
              <c:strCache>
                <c:ptCount val="1"/>
                <c:pt idx="0">
                  <c:v>2y deviation limit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'Graf 32 '!$C$58:$I$58</c:f>
              <c:numCache>
                <c:formatCode>0.0</c:formatCode>
                <c:ptCount val="7"/>
                <c:pt idx="0" formatCode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81904"/>
        <c:axId val="543582296"/>
      </c:lineChart>
      <c:catAx>
        <c:axId val="5435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3582296"/>
        <c:crosses val="autoZero"/>
        <c:auto val="1"/>
        <c:lblAlgn val="ctr"/>
        <c:lblOffset val="100"/>
        <c:noMultiLvlLbl val="0"/>
      </c:catAx>
      <c:valAx>
        <c:axId val="5435822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358190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514411906970982E-3"/>
          <c:y val="0.8340988626421697"/>
          <c:w val="0.99424852715328393"/>
          <c:h val="0.1659011235582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72412572084403426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'Graf 33 '!$A$28</c:f>
              <c:strCache>
                <c:ptCount val="1"/>
                <c:pt idx="0">
                  <c:v>Zosúladenie deficitu a dlhu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'!$B$19:$G$19</c15:sqref>
                  </c15:fullRef>
                </c:ext>
              </c:extLst>
              <c:f>'Graf 33 '!$C$19:$G$19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'!$B$28:$G$28</c15:sqref>
                  </c15:fullRef>
                </c:ext>
              </c:extLst>
              <c:f>'Graf 33 '!$C$28:$G$28</c:f>
              <c:numCache>
                <c:formatCode>0.0</c:formatCode>
                <c:ptCount val="5"/>
                <c:pt idx="0">
                  <c:v>-0.74516906320961251</c:v>
                </c:pt>
                <c:pt idx="1">
                  <c:v>0.79370517957442699</c:v>
                </c:pt>
                <c:pt idx="2">
                  <c:v>0.44658276781234263</c:v>
                </c:pt>
                <c:pt idx="3">
                  <c:v>1.0618928365107996</c:v>
                </c:pt>
                <c:pt idx="4">
                  <c:v>0.68020248510879489</c:v>
                </c:pt>
              </c:numCache>
            </c:numRef>
          </c:val>
        </c:ser>
        <c:ser>
          <c:idx val="2"/>
          <c:order val="2"/>
          <c:tx>
            <c:strRef>
              <c:f>'Graf 33 '!$A$22</c:f>
              <c:strCache>
                <c:ptCount val="1"/>
                <c:pt idx="0">
                  <c:v>Primárne saldo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'!$B$19:$G$19</c15:sqref>
                  </c15:fullRef>
                </c:ext>
              </c:extLst>
              <c:f>'Graf 33 '!$C$19:$G$19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'!$B$22:$G$22</c15:sqref>
                  </c15:fullRef>
                </c:ext>
              </c:extLst>
              <c:f>'Graf 33 '!$C$22:$G$22</c:f>
              <c:numCache>
                <c:formatCode>0.0</c:formatCode>
                <c:ptCount val="5"/>
                <c:pt idx="0">
                  <c:v>2.8182512997726332E-2</c:v>
                </c:pt>
                <c:pt idx="1">
                  <c:v>-6.7916482237150688E-2</c:v>
                </c:pt>
                <c:pt idx="2">
                  <c:v>-0.77266510769382279</c:v>
                </c:pt>
                <c:pt idx="3">
                  <c:v>-1.1826798156806813</c:v>
                </c:pt>
                <c:pt idx="4">
                  <c:v>-1.0724131341475103</c:v>
                </c:pt>
              </c:numCache>
            </c:numRef>
          </c:val>
          <c:extLst/>
        </c:ser>
        <c:ser>
          <c:idx val="4"/>
          <c:order val="3"/>
          <c:tx>
            <c:strRef>
              <c:f>'Graf 33 '!$A$24</c:f>
              <c:strCache>
                <c:ptCount val="1"/>
                <c:pt idx="0">
                  <c:v>Úroky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'!$B$19:$G$19</c15:sqref>
                  </c15:fullRef>
                </c:ext>
              </c:extLst>
              <c:f>'Graf 33 '!$C$19:$G$19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'!$B$24:$G$24</c15:sqref>
                  </c15:fullRef>
                </c:ext>
              </c:extLst>
              <c:f>'Graf 33 '!$C$24:$G$24</c:f>
              <c:numCache>
                <c:formatCode>0.0</c:formatCode>
                <c:ptCount val="5"/>
                <c:pt idx="0">
                  <c:v>1.6535993155167219</c:v>
                </c:pt>
                <c:pt idx="1">
                  <c:v>1.307916045366363</c:v>
                </c:pt>
                <c:pt idx="2">
                  <c:v>1.2726651079657783</c:v>
                </c:pt>
                <c:pt idx="3">
                  <c:v>1.1826798156806813</c:v>
                </c:pt>
                <c:pt idx="4">
                  <c:v>1.0724131341475103</c:v>
                </c:pt>
              </c:numCache>
            </c:numRef>
          </c:val>
        </c:ser>
        <c:ser>
          <c:idx val="1"/>
          <c:order val="5"/>
          <c:tx>
            <c:strRef>
              <c:f>'Graf 33 '!$A$26</c:f>
              <c:strCache>
                <c:ptCount val="1"/>
                <c:pt idx="0">
                  <c:v>Rast reálneho HDP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'!$B$19:$G$19</c15:sqref>
                  </c15:fullRef>
                </c:ext>
              </c:extLst>
              <c:f>'Graf 33 '!$C$19:$G$19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'!$B$26:$G$26</c15:sqref>
                  </c15:fullRef>
                </c:ext>
              </c:extLst>
              <c:f>'Graf 33 '!$C$26:$G$26</c:f>
              <c:numCache>
                <c:formatCode>0.0</c:formatCode>
                <c:ptCount val="5"/>
                <c:pt idx="0">
                  <c:v>-1.6613492383326836</c:v>
                </c:pt>
                <c:pt idx="1">
                  <c:v>-1.7212636001895381</c:v>
                </c:pt>
                <c:pt idx="2">
                  <c:v>-2.0289160099038908</c:v>
                </c:pt>
                <c:pt idx="3">
                  <c:v>-2.1240368700806269</c:v>
                </c:pt>
                <c:pt idx="4">
                  <c:v>-1.7964402996343747</c:v>
                </c:pt>
              </c:numCache>
            </c:numRef>
          </c:val>
        </c:ser>
        <c:ser>
          <c:idx val="3"/>
          <c:order val="6"/>
          <c:tx>
            <c:strRef>
              <c:f>'Graf 33 '!$A$27</c:f>
              <c:strCache>
                <c:ptCount val="1"/>
                <c:pt idx="0">
                  <c:v>Deflátor  HDP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'!$B$19:$G$19</c15:sqref>
                  </c15:fullRef>
                </c:ext>
              </c:extLst>
              <c:f>'Graf 33 '!$C$19:$G$19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'!$B$27:$G$27</c15:sqref>
                  </c15:fullRef>
                </c:ext>
              </c:extLst>
              <c:f>'Graf 33 '!$C$27:$G$27</c:f>
              <c:numCache>
                <c:formatCode>0.0</c:formatCode>
                <c:ptCount val="5"/>
                <c:pt idx="0">
                  <c:v>0.18826976080495128</c:v>
                </c:pt>
                <c:pt idx="1">
                  <c:v>-0.50337990792036669</c:v>
                </c:pt>
                <c:pt idx="2">
                  <c:v>-0.73432195823887048</c:v>
                </c:pt>
                <c:pt idx="3">
                  <c:v>-0.88146750269015905</c:v>
                </c:pt>
                <c:pt idx="4">
                  <c:v>-0.89875914678765012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3583080"/>
        <c:axId val="543583472"/>
        <c:extLst>
          <c:ext xmlns:c15="http://schemas.microsoft.com/office/drawing/2012/chart" uri="{02D57815-91ED-43cb-92C2-25804820EDAC}">
            <c15:filteredBar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'Graf 33 '!$A$25</c15:sqref>
                        </c15:formulaRef>
                      </c:ext>
                    </c:extLst>
                    <c:strCache>
                      <c:ptCount val="1"/>
                      <c:pt idx="0">
                        <c:v>Rast nominálneho HDP</c:v>
                      </c:pt>
                    </c:strCache>
                  </c:strRef>
                </c:tx>
                <c:spPr>
                  <a:solidFill>
                    <a:srgbClr val="D3BEDE"/>
                  </a:solidFill>
                  <a:ln w="12700">
                    <a:noFill/>
                    <a:prstDash val="solid"/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'Graf 33 '!$B$19:$G$19</c15:sqref>
                        </c15:fullRef>
                        <c15:formulaRef>
                          <c15:sqref>'Graf 33 '!$C$19:$G$19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'Graf 33 '!$B$25:$G$25</c15:sqref>
                        </c15:fullRef>
                        <c15:formulaRef>
                          <c15:sqref>'Graf 33 '!$C$25:$G$25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-1.4730794775277323</c:v>
                      </c:pt>
                      <c:pt idx="1">
                        <c:v>-2.2246435081099047</c:v>
                      </c:pt>
                      <c:pt idx="2">
                        <c:v>-2.7632379681427612</c:v>
                      </c:pt>
                      <c:pt idx="3">
                        <c:v>-3.005504372770786</c:v>
                      </c:pt>
                      <c:pt idx="4">
                        <c:v>-2.6951994464220248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'Graf 33 '!$A$20</c:f>
              <c:strCache>
                <c:ptCount val="1"/>
                <c:pt idx="0">
                  <c:v>Zmena hrubého dlhu verejnej správy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1"/>
              <c:layout>
                <c:manualLayout>
                  <c:x val="-3.6937621603269744E-2"/>
                  <c:y val="3.0217186024551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937621603269744E-2"/>
                  <c:y val="3.0217186024551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993453554624241E-2"/>
                  <c:y val="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359954383811473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254371188676044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33 '!$B$19:$G$19</c15:sqref>
                  </c15:fullRef>
                </c:ext>
              </c:extLst>
              <c:f>'Graf 33 '!$C$19:$G$19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'!$B$20:$G$20</c15:sqref>
                  </c15:fullRef>
                </c:ext>
              </c:extLst>
              <c:f>'Graf 33 '!$C$20:$G$20</c:f>
              <c:numCache>
                <c:formatCode>0.0</c:formatCode>
                <c:ptCount val="5"/>
                <c:pt idx="0">
                  <c:v>-0.53646671222289655</c:v>
                </c:pt>
                <c:pt idx="1">
                  <c:v>-0.19093876540626553</c:v>
                </c:pt>
                <c:pt idx="2">
                  <c:v>-1.816655200058463</c:v>
                </c:pt>
                <c:pt idx="3">
                  <c:v>-1.9436115362599864</c:v>
                </c:pt>
                <c:pt idx="4">
                  <c:v>-2.0149969613132299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83080"/>
        <c:axId val="543583472"/>
      </c:lineChart>
      <c:catAx>
        <c:axId val="543583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54358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3583472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54358308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84897818800019731"/>
          <c:w val="0.96143550394019972"/>
          <c:h val="0.151021928710524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72412572084403426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'Graf 33 '!$I$28</c:f>
              <c:strCache>
                <c:ptCount val="1"/>
                <c:pt idx="0">
                  <c:v>Stock-flow adjustment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'!$J$19:$O$19</c15:sqref>
                  </c15:fullRef>
                </c:ext>
              </c:extLst>
              <c:f>'Graf 33 '!$K$19:$O$19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'!$J$28:$O$28</c15:sqref>
                  </c15:fullRef>
                </c:ext>
              </c:extLst>
              <c:f>'Graf 33 '!$K$28:$O$28</c:f>
              <c:numCache>
                <c:formatCode>0.0</c:formatCode>
                <c:ptCount val="5"/>
                <c:pt idx="0">
                  <c:v>-0.74516906320961251</c:v>
                </c:pt>
                <c:pt idx="1">
                  <c:v>0.79370517957442699</c:v>
                </c:pt>
                <c:pt idx="2">
                  <c:v>0.44658276781234263</c:v>
                </c:pt>
                <c:pt idx="3">
                  <c:v>1.0618928365107996</c:v>
                </c:pt>
                <c:pt idx="4">
                  <c:v>0.68020248510879489</c:v>
                </c:pt>
              </c:numCache>
            </c:numRef>
          </c:val>
        </c:ser>
        <c:ser>
          <c:idx val="2"/>
          <c:order val="2"/>
          <c:tx>
            <c:strRef>
              <c:f>'Graf 33 '!$I$22</c:f>
              <c:strCache>
                <c:ptCount val="1"/>
                <c:pt idx="0">
                  <c:v>Primary balance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'!$J$19:$O$19</c15:sqref>
                  </c15:fullRef>
                </c:ext>
              </c:extLst>
              <c:f>'Graf 33 '!$K$19:$O$19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'!$J$22:$O$22</c15:sqref>
                  </c15:fullRef>
                </c:ext>
              </c:extLst>
              <c:f>'Graf 33 '!$K$22:$O$22</c:f>
              <c:numCache>
                <c:formatCode>0.0</c:formatCode>
                <c:ptCount val="5"/>
                <c:pt idx="0">
                  <c:v>2.8182512997726332E-2</c:v>
                </c:pt>
                <c:pt idx="1">
                  <c:v>-6.7916482237150688E-2</c:v>
                </c:pt>
                <c:pt idx="2">
                  <c:v>-0.77266510769382279</c:v>
                </c:pt>
                <c:pt idx="3">
                  <c:v>-1.1826798156806813</c:v>
                </c:pt>
                <c:pt idx="4">
                  <c:v>-1.0724131341475103</c:v>
                </c:pt>
              </c:numCache>
            </c:numRef>
          </c:val>
          <c:extLst/>
        </c:ser>
        <c:ser>
          <c:idx val="4"/>
          <c:order val="3"/>
          <c:tx>
            <c:strRef>
              <c:f>'Graf 33 '!$I$24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'!$J$19:$O$19</c15:sqref>
                  </c15:fullRef>
                </c:ext>
              </c:extLst>
              <c:f>'Graf 33 '!$K$19:$O$19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'!$J$24:$O$24</c15:sqref>
                  </c15:fullRef>
                </c:ext>
              </c:extLst>
              <c:f>'Graf 33 '!$K$24:$O$24</c:f>
              <c:numCache>
                <c:formatCode>0.0</c:formatCode>
                <c:ptCount val="5"/>
                <c:pt idx="0">
                  <c:v>1.6535993155167219</c:v>
                </c:pt>
                <c:pt idx="1">
                  <c:v>1.307916045366363</c:v>
                </c:pt>
                <c:pt idx="2">
                  <c:v>1.2726651079657783</c:v>
                </c:pt>
                <c:pt idx="3">
                  <c:v>1.1826798156806813</c:v>
                </c:pt>
                <c:pt idx="4">
                  <c:v>1.0724131341475103</c:v>
                </c:pt>
              </c:numCache>
            </c:numRef>
          </c:val>
        </c:ser>
        <c:ser>
          <c:idx val="1"/>
          <c:order val="5"/>
          <c:tx>
            <c:strRef>
              <c:f>'Graf 33 '!$I$26</c:f>
              <c:strCache>
                <c:ptCount val="1"/>
                <c:pt idx="0">
                  <c:v>Real GDP growth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'!$J$19:$O$19</c15:sqref>
                  </c15:fullRef>
                </c:ext>
              </c:extLst>
              <c:f>'Graf 33 '!$K$19:$O$19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'!$J$26:$O$26</c15:sqref>
                  </c15:fullRef>
                </c:ext>
              </c:extLst>
              <c:f>'Graf 33 '!$K$26:$O$26</c:f>
              <c:numCache>
                <c:formatCode>0.0</c:formatCode>
                <c:ptCount val="5"/>
                <c:pt idx="0">
                  <c:v>-1.6613492383326836</c:v>
                </c:pt>
                <c:pt idx="1">
                  <c:v>-1.7212636001895381</c:v>
                </c:pt>
                <c:pt idx="2">
                  <c:v>-2.0289160099038908</c:v>
                </c:pt>
                <c:pt idx="3">
                  <c:v>-2.1240368700806269</c:v>
                </c:pt>
                <c:pt idx="4">
                  <c:v>-1.7964402996343747</c:v>
                </c:pt>
              </c:numCache>
            </c:numRef>
          </c:val>
        </c:ser>
        <c:ser>
          <c:idx val="3"/>
          <c:order val="6"/>
          <c:tx>
            <c:strRef>
              <c:f>'Graf 33 '!$I$27</c:f>
              <c:strCache>
                <c:ptCount val="1"/>
                <c:pt idx="0">
                  <c:v>GDP deflator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33 '!$J$19:$O$19</c15:sqref>
                  </c15:fullRef>
                </c:ext>
              </c:extLst>
              <c:f>'Graf 33 '!$K$19:$O$19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'!$J$27:$O$27</c15:sqref>
                  </c15:fullRef>
                </c:ext>
              </c:extLst>
              <c:f>'Graf 33 '!$K$27:$O$27</c:f>
              <c:numCache>
                <c:formatCode>0.0</c:formatCode>
                <c:ptCount val="5"/>
                <c:pt idx="0">
                  <c:v>0.18826976080495128</c:v>
                </c:pt>
                <c:pt idx="1">
                  <c:v>-0.50337990792036669</c:v>
                </c:pt>
                <c:pt idx="2">
                  <c:v>-0.73432195823887048</c:v>
                </c:pt>
                <c:pt idx="3">
                  <c:v>-0.88146750269015905</c:v>
                </c:pt>
                <c:pt idx="4">
                  <c:v>-0.89875914678765012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3584256"/>
        <c:axId val="543584648"/>
        <c:extLst>
          <c:ext xmlns:c15="http://schemas.microsoft.com/office/drawing/2012/chart" uri="{02D57815-91ED-43cb-92C2-25804820EDAC}">
            <c15:filteredBar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'Graf 33 '!$I$25</c15:sqref>
                        </c15:formulaRef>
                      </c:ext>
                    </c:extLst>
                    <c:strCache>
                      <c:ptCount val="1"/>
                      <c:pt idx="0">
                        <c:v>Nominal GDP growth</c:v>
                      </c:pt>
                    </c:strCache>
                  </c:strRef>
                </c:tx>
                <c:spPr>
                  <a:solidFill>
                    <a:srgbClr val="D3BEDE"/>
                  </a:solidFill>
                  <a:ln w="12700">
                    <a:noFill/>
                    <a:prstDash val="solid"/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'Graf 33 '!$J$19:$O$19</c15:sqref>
                        </c15:fullRef>
                        <c15:formulaRef>
                          <c15:sqref>'Graf 33 '!$K$19:$O$19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'Graf 33 '!$J$25:$O$25</c15:sqref>
                        </c15:fullRef>
                        <c15:formulaRef>
                          <c15:sqref>'Graf 33 '!$K$25:$O$25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-1.4730794775277323</c:v>
                      </c:pt>
                      <c:pt idx="1">
                        <c:v>-2.2246435081099047</c:v>
                      </c:pt>
                      <c:pt idx="2">
                        <c:v>-2.7632379681427612</c:v>
                      </c:pt>
                      <c:pt idx="3">
                        <c:v>-3.005504372770786</c:v>
                      </c:pt>
                      <c:pt idx="4">
                        <c:v>-2.6951994464220248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'Graf 33 '!$I$20</c:f>
              <c:strCache>
                <c:ptCount val="1"/>
                <c:pt idx="0">
                  <c:v>Y-o-y change of gross debt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1"/>
              <c:layout>
                <c:manualLayout>
                  <c:x val="-3.6937621603269744E-2"/>
                  <c:y val="3.0217186024551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937621603269744E-2"/>
                  <c:y val="3.0217186024551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993453554624241E-2"/>
                  <c:y val="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359954383811473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254371188676044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33 '!$J$19:$O$19</c15:sqref>
                  </c15:fullRef>
                </c:ext>
              </c:extLst>
              <c:f>'Graf 33 '!$K$19:$O$19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33 '!$J$20:$O$20</c15:sqref>
                  </c15:fullRef>
                </c:ext>
              </c:extLst>
              <c:f>'Graf 33 '!$K$20:$O$20</c:f>
              <c:numCache>
                <c:formatCode>0.0</c:formatCode>
                <c:ptCount val="5"/>
                <c:pt idx="0">
                  <c:v>-0.53646671222289655</c:v>
                </c:pt>
                <c:pt idx="1">
                  <c:v>-0.19093876540626553</c:v>
                </c:pt>
                <c:pt idx="2">
                  <c:v>-1.816655200058463</c:v>
                </c:pt>
                <c:pt idx="3">
                  <c:v>-1.9436115362599864</c:v>
                </c:pt>
                <c:pt idx="4">
                  <c:v>-2.0149969613132299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84256"/>
        <c:axId val="543584648"/>
      </c:lineChart>
      <c:catAx>
        <c:axId val="5435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54358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3584648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54358425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84897818800019731"/>
          <c:w val="0.92010986043255538"/>
          <c:h val="0.151021928710524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v>Čistý dlh</c:v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34 '!$B$21:$G$21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34 '!$B$28:$G$28</c:f>
              <c:numCache>
                <c:formatCode>0.0</c:formatCode>
                <c:ptCount val="6"/>
                <c:pt idx="0">
                  <c:v>48.214345627220681</c:v>
                </c:pt>
                <c:pt idx="1">
                  <c:v>47.004140566509029</c:v>
                </c:pt>
                <c:pt idx="2">
                  <c:v>46.852281109816708</c:v>
                </c:pt>
                <c:pt idx="3">
                  <c:v>45.090520052349831</c:v>
                </c:pt>
                <c:pt idx="4">
                  <c:v>42.690731994583544</c:v>
                </c:pt>
                <c:pt idx="5">
                  <c:v>40.516251122907782</c:v>
                </c:pt>
              </c:numCache>
            </c:numRef>
          </c:val>
        </c:ser>
        <c:ser>
          <c:idx val="2"/>
          <c:order val="1"/>
          <c:tx>
            <c:strRef>
              <c:f>'Graf 34 '!$A$31</c:f>
              <c:strCache>
                <c:ptCount val="1"/>
                <c:pt idx="0">
                  <c:v>Likvidné aktíva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34 '!$B$21:$G$21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34 '!$B$31:$G$31</c:f>
              <c:numCache>
                <c:formatCode>0.00</c:formatCode>
                <c:ptCount val="6"/>
                <c:pt idx="0">
                  <c:v>4.2666366637212745</c:v>
                </c:pt>
                <c:pt idx="1">
                  <c:v>4.9403750122100343</c:v>
                </c:pt>
                <c:pt idx="2">
                  <c:v>4.9012957034960918</c:v>
                </c:pt>
                <c:pt idx="3">
                  <c:v>4.8464015609045061</c:v>
                </c:pt>
                <c:pt idx="4">
                  <c:v>5.3025780824107995</c:v>
                </c:pt>
                <c:pt idx="5">
                  <c:v>5.4620619927733385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3585432"/>
        <c:axId val="543585824"/>
      </c:barChart>
      <c:lineChart>
        <c:grouping val="standard"/>
        <c:varyColors val="0"/>
        <c:ser>
          <c:idx val="0"/>
          <c:order val="2"/>
          <c:tx>
            <c:strRef>
              <c:f>'Graf 34 '!$A$22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34 '!$B$21:$G$21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34 '!$B$22:$G$22</c:f>
              <c:numCache>
                <c:formatCode>0.0</c:formatCode>
                <c:ptCount val="6"/>
                <c:pt idx="0">
                  <c:v>52.480982290941959</c:v>
                </c:pt>
                <c:pt idx="1">
                  <c:v>51.944515578719063</c:v>
                </c:pt>
                <c:pt idx="2">
                  <c:v>51.753576813312797</c:v>
                </c:pt>
                <c:pt idx="3">
                  <c:v>49.936921613254334</c:v>
                </c:pt>
                <c:pt idx="4">
                  <c:v>47.993310076994348</c:v>
                </c:pt>
                <c:pt idx="5">
                  <c:v>45.978313115681118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85432"/>
        <c:axId val="543585824"/>
      </c:lineChart>
      <c:catAx>
        <c:axId val="543585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43585824"/>
        <c:crosses val="autoZero"/>
        <c:auto val="1"/>
        <c:lblAlgn val="ctr"/>
        <c:lblOffset val="100"/>
        <c:noMultiLvlLbl val="0"/>
      </c:catAx>
      <c:valAx>
        <c:axId val="54358582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43585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5.1722633935463946E-2"/>
          <c:y val="0.90745096115322033"/>
          <c:w val="0.91005422780302236"/>
          <c:h val="9.254914564250897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v>Net debt</c:v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34 '!$K$21:$P$21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34 '!$K$28:$P$28</c:f>
              <c:numCache>
                <c:formatCode>0.0</c:formatCode>
                <c:ptCount val="6"/>
                <c:pt idx="0">
                  <c:v>48.214345627220681</c:v>
                </c:pt>
                <c:pt idx="1">
                  <c:v>47.004140566509029</c:v>
                </c:pt>
                <c:pt idx="2">
                  <c:v>46.852281109816708</c:v>
                </c:pt>
                <c:pt idx="3">
                  <c:v>45.090520052349831</c:v>
                </c:pt>
                <c:pt idx="4">
                  <c:v>42.690731994583544</c:v>
                </c:pt>
                <c:pt idx="5">
                  <c:v>40.516251122907782</c:v>
                </c:pt>
              </c:numCache>
            </c:numRef>
          </c:val>
        </c:ser>
        <c:ser>
          <c:idx val="2"/>
          <c:order val="1"/>
          <c:tx>
            <c:strRef>
              <c:f>'Graf 34 '!$J$31</c:f>
              <c:strCache>
                <c:ptCount val="1"/>
                <c:pt idx="0">
                  <c:v>Liquid assets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34 '!$K$21:$P$21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34 '!$K$31:$P$31</c:f>
              <c:numCache>
                <c:formatCode>0.00</c:formatCode>
                <c:ptCount val="6"/>
                <c:pt idx="0">
                  <c:v>4.2666366637212745</c:v>
                </c:pt>
                <c:pt idx="1">
                  <c:v>4.9403750122100343</c:v>
                </c:pt>
                <c:pt idx="2">
                  <c:v>4.9012957034960918</c:v>
                </c:pt>
                <c:pt idx="3">
                  <c:v>4.8464015609045061</c:v>
                </c:pt>
                <c:pt idx="4">
                  <c:v>5.3025780824107995</c:v>
                </c:pt>
                <c:pt idx="5">
                  <c:v>5.4620619927733385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3586608"/>
        <c:axId val="539709440"/>
      </c:barChart>
      <c:lineChart>
        <c:grouping val="standard"/>
        <c:varyColors val="0"/>
        <c:ser>
          <c:idx val="0"/>
          <c:order val="2"/>
          <c:tx>
            <c:strRef>
              <c:f>'Graf 34 '!$J$22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34 '!$K$21:$P$21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34 '!$K$22:$P$22</c:f>
              <c:numCache>
                <c:formatCode>0.0</c:formatCode>
                <c:ptCount val="6"/>
                <c:pt idx="0">
                  <c:v>52.480982290941959</c:v>
                </c:pt>
                <c:pt idx="1">
                  <c:v>51.944515578719063</c:v>
                </c:pt>
                <c:pt idx="2">
                  <c:v>51.753576813312797</c:v>
                </c:pt>
                <c:pt idx="3">
                  <c:v>49.936921613254334</c:v>
                </c:pt>
                <c:pt idx="4">
                  <c:v>47.993310076994348</c:v>
                </c:pt>
                <c:pt idx="5">
                  <c:v>45.978313115681118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86608"/>
        <c:axId val="539709440"/>
      </c:lineChart>
      <c:catAx>
        <c:axId val="54358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39709440"/>
        <c:crosses val="autoZero"/>
        <c:auto val="1"/>
        <c:lblAlgn val="ctr"/>
        <c:lblOffset val="100"/>
        <c:noMultiLvlLbl val="0"/>
      </c:catAx>
      <c:valAx>
        <c:axId val="53970944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43586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5.1722633935463946E-2"/>
          <c:y val="0.90745096115322033"/>
          <c:w val="0.90681387903435151"/>
          <c:h val="9.254914564250897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r>
              <a:rPr lang="sk-SK">
                <a:solidFill>
                  <a:sysClr val="windowText" lastClr="000000"/>
                </a:solidFill>
              </a:rPr>
              <a:t>Dlh/Debt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ueHaasGroteskText W02" panose="020B0504020202020204" pitchFamily="34" charset="-18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3972067901234584E-2"/>
          <c:y val="0.12627015916093498"/>
          <c:w val="0.83704320987654335"/>
          <c:h val="0.74324382284332291"/>
        </c:manualLayout>
      </c:layout>
      <c:areaChart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'!$E$38:$E$56</c:f>
              <c:numCache>
                <c:formatCode>0</c:formatCode>
                <c:ptCount val="19"/>
                <c:pt idx="0">
                  <c:v>42.88215599197013</c:v>
                </c:pt>
                <c:pt idx="1">
                  <c:v>41.588629367554795</c:v>
                </c:pt>
                <c:pt idx="2">
                  <c:v>40.639217872327734</c:v>
                </c:pt>
                <c:pt idx="3">
                  <c:v>33.928324096966726</c:v>
                </c:pt>
                <c:pt idx="4">
                  <c:v>30.767079387245609</c:v>
                </c:pt>
                <c:pt idx="5">
                  <c:v>29.897666684381687</c:v>
                </c:pt>
                <c:pt idx="6">
                  <c:v>28.21367341902042</c:v>
                </c:pt>
                <c:pt idx="7">
                  <c:v>36.007894575405679</c:v>
                </c:pt>
                <c:pt idx="8">
                  <c:v>40.815353172271344</c:v>
                </c:pt>
                <c:pt idx="9">
                  <c:v>43.268992990071645</c:v>
                </c:pt>
                <c:pt idx="10">
                  <c:v>51.938274567594242</c:v>
                </c:pt>
                <c:pt idx="11">
                  <c:v>54.559832040831324</c:v>
                </c:pt>
                <c:pt idx="12">
                  <c:v>53.897262691251328</c:v>
                </c:pt>
                <c:pt idx="13">
                  <c:v>52.894261521267879</c:v>
                </c:pt>
                <c:pt idx="14">
                  <c:v>51.944515578719063</c:v>
                </c:pt>
                <c:pt idx="15">
                  <c:v>46.255374932583216</c:v>
                </c:pt>
                <c:pt idx="16">
                  <c:v>41.243264489479941</c:v>
                </c:pt>
                <c:pt idx="17">
                  <c:v>38.430381773142528</c:v>
                </c:pt>
                <c:pt idx="18">
                  <c:v>37.34920193809792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'!$F$38:$F$56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1.3265079408601537</c:v>
                </c:pt>
                <c:pt idx="16">
                  <c:v>2.3172446927342421</c:v>
                </c:pt>
                <c:pt idx="17">
                  <c:v>2.6341808829211928</c:v>
                </c:pt>
                <c:pt idx="18">
                  <c:v>3.0411794471402587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'!$G$38:$G$56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0.97214495115644439</c:v>
                </c:pt>
                <c:pt idx="16">
                  <c:v>1.778793770052701</c:v>
                </c:pt>
                <c:pt idx="17">
                  <c:v>2.3382301907067884</c:v>
                </c:pt>
                <c:pt idx="18">
                  <c:v>2.3010755498272317</c:v>
                </c:pt>
              </c:numCache>
            </c:numRef>
          </c:val>
        </c:ser>
        <c:ser>
          <c:idx val="3"/>
          <c:order val="3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'!$H$38:$H$56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0.83794436791760774</c:v>
                </c:pt>
                <c:pt idx="16">
                  <c:v>1.4394299327743454</c:v>
                </c:pt>
                <c:pt idx="17">
                  <c:v>1.7880420454115153</c:v>
                </c:pt>
                <c:pt idx="18">
                  <c:v>1.9140837157248498</c:v>
                </c:pt>
              </c:numCache>
            </c:numRef>
          </c:val>
        </c:ser>
        <c:ser>
          <c:idx val="4"/>
          <c:order val="4"/>
          <c:spPr>
            <a:solidFill>
              <a:schemeClr val="accent3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'!$I$38:$I$56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0.78778354931281314</c:v>
                </c:pt>
                <c:pt idx="16">
                  <c:v>1.4096725536503172</c:v>
                </c:pt>
                <c:pt idx="17">
                  <c:v>1.7036497981054097</c:v>
                </c:pt>
                <c:pt idx="18">
                  <c:v>1.7978574028451533</c:v>
                </c:pt>
              </c:numCache>
            </c:numRef>
          </c:val>
        </c:ser>
        <c:ser>
          <c:idx val="5"/>
          <c:order val="5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'!$J$38:$J$56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0.7957309091971041</c:v>
                </c:pt>
                <c:pt idx="16">
                  <c:v>1.4864581840205489</c:v>
                </c:pt>
                <c:pt idx="17">
                  <c:v>1.6727411877777882</c:v>
                </c:pt>
                <c:pt idx="18">
                  <c:v>1.9473860099716873</c:v>
                </c:pt>
              </c:numCache>
            </c:numRef>
          </c:val>
        </c:ser>
        <c:ser>
          <c:idx val="6"/>
          <c:order val="6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'!$K$38:$K$56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0.89629441023487288</c:v>
                </c:pt>
                <c:pt idx="16">
                  <c:v>1.6147716179408036</c:v>
                </c:pt>
                <c:pt idx="17">
                  <c:v>2.1143088964636689</c:v>
                </c:pt>
                <c:pt idx="18">
                  <c:v>2.076502461889504</c:v>
                </c:pt>
              </c:numCache>
            </c:numRef>
          </c:val>
        </c:ser>
        <c:ser>
          <c:idx val="7"/>
          <c:order val="7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'!$L$38:$L$56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1.0470089849029875</c:v>
                </c:pt>
                <c:pt idx="16">
                  <c:v>1.8610893246051248</c:v>
                </c:pt>
                <c:pt idx="17">
                  <c:v>2.4969079625562358</c:v>
                </c:pt>
                <c:pt idx="18">
                  <c:v>2.8211262116797684</c:v>
                </c:pt>
              </c:numCache>
            </c:numRef>
          </c:val>
        </c:ser>
        <c:ser>
          <c:idx val="8"/>
          <c:order val="8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'!$M$38:$M$56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1.4586013898884005</c:v>
                </c:pt>
                <c:pt idx="16">
                  <c:v>2.773310242513304</c:v>
                </c:pt>
                <c:pt idx="17">
                  <c:v>3.5217639603160933</c:v>
                </c:pt>
                <c:pt idx="18">
                  <c:v>3.6449105265708255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710224"/>
        <c:axId val="539710616"/>
      </c:areaChart>
      <c:lineChart>
        <c:grouping val="standard"/>
        <c:varyColors val="0"/>
        <c:ser>
          <c:idx val="9"/>
          <c:order val="9"/>
          <c:tx>
            <c:strRef>
              <c:f>'Graf  35 '!$B$32:$B$33</c:f>
              <c:strCache>
                <c:ptCount val="2"/>
                <c:pt idx="0">
                  <c:v>official forecast</c:v>
                </c:pt>
                <c:pt idx="1">
                  <c:v>oficiálna prognóza</c:v>
                </c:pt>
              </c:strCache>
            </c:strRef>
          </c:tx>
          <c:spPr>
            <a:ln w="2540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Ref>
              <c:f>'Graf  35 '!$B$38:$B$56</c:f>
              <c:numCache>
                <c:formatCode>0</c:formatCode>
                <c:ptCount val="19"/>
                <c:pt idx="0">
                  <c:v>42.88215599197013</c:v>
                </c:pt>
                <c:pt idx="1">
                  <c:v>41.588629367554795</c:v>
                </c:pt>
                <c:pt idx="2">
                  <c:v>40.639217872327734</c:v>
                </c:pt>
                <c:pt idx="3">
                  <c:v>33.928324096966726</c:v>
                </c:pt>
                <c:pt idx="4">
                  <c:v>30.767079387245609</c:v>
                </c:pt>
                <c:pt idx="5">
                  <c:v>29.897666684381687</c:v>
                </c:pt>
                <c:pt idx="6">
                  <c:v>28.21367341902042</c:v>
                </c:pt>
                <c:pt idx="7">
                  <c:v>36.007894575405679</c:v>
                </c:pt>
                <c:pt idx="8">
                  <c:v>40.815353172271344</c:v>
                </c:pt>
                <c:pt idx="9">
                  <c:v>43.268992990071645</c:v>
                </c:pt>
                <c:pt idx="10">
                  <c:v>51.938274567594242</c:v>
                </c:pt>
                <c:pt idx="11">
                  <c:v>54.559832040831324</c:v>
                </c:pt>
                <c:pt idx="12">
                  <c:v>53.897262691251328</c:v>
                </c:pt>
                <c:pt idx="13">
                  <c:v>52.894261521267879</c:v>
                </c:pt>
                <c:pt idx="14">
                  <c:v>51.944515578719063</c:v>
                </c:pt>
                <c:pt idx="15">
                  <c:v>51.753576813312797</c:v>
                </c:pt>
                <c:pt idx="16">
                  <c:v>49.936921613254334</c:v>
                </c:pt>
                <c:pt idx="17">
                  <c:v>47.993310076994348</c:v>
                </c:pt>
                <c:pt idx="18">
                  <c:v>45.978313115681118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710224"/>
        <c:axId val="539710616"/>
      </c:lineChart>
      <c:lineChart>
        <c:grouping val="standard"/>
        <c:varyColors val="0"/>
        <c:ser>
          <c:idx val="10"/>
          <c:order val="10"/>
          <c:tx>
            <c:strRef>
              <c:f>'Graf  35 '!$C$32:$C$33</c:f>
              <c:strCache>
                <c:ptCount val="2"/>
                <c:pt idx="0">
                  <c:v>alternative forecast</c:v>
                </c:pt>
                <c:pt idx="1">
                  <c:v>alternatívna prognóza</c:v>
                </c:pt>
              </c:strCache>
            </c:strRef>
          </c:tx>
          <c:spPr>
            <a:ln w="25400" cap="rnd">
              <a:solidFill>
                <a:srgbClr val="2C9AD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 35 '!$A$38:$A$56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'Graf  35 '!$C$38:$C$56</c:f>
              <c:numCache>
                <c:formatCode>0</c:formatCode>
                <c:ptCount val="19"/>
                <c:pt idx="0">
                  <c:v>42.88215599197013</c:v>
                </c:pt>
                <c:pt idx="1">
                  <c:v>41.588629367554795</c:v>
                </c:pt>
                <c:pt idx="2">
                  <c:v>40.639217872327734</c:v>
                </c:pt>
                <c:pt idx="3">
                  <c:v>33.928324096966726</c:v>
                </c:pt>
                <c:pt idx="4">
                  <c:v>30.767079387245609</c:v>
                </c:pt>
                <c:pt idx="5">
                  <c:v>29.897666684381687</c:v>
                </c:pt>
                <c:pt idx="6">
                  <c:v>28.21367341902042</c:v>
                </c:pt>
                <c:pt idx="7">
                  <c:v>36.007894575405679</c:v>
                </c:pt>
                <c:pt idx="8">
                  <c:v>40.815353172271344</c:v>
                </c:pt>
                <c:pt idx="9">
                  <c:v>43.268992990071645</c:v>
                </c:pt>
                <c:pt idx="10">
                  <c:v>51.938274567594242</c:v>
                </c:pt>
                <c:pt idx="11">
                  <c:v>54.559832040831324</c:v>
                </c:pt>
                <c:pt idx="12">
                  <c:v>53.897262691251328</c:v>
                </c:pt>
                <c:pt idx="13">
                  <c:v>52.894261521267879</c:v>
                </c:pt>
                <c:pt idx="14">
                  <c:v>51.944515578719063</c:v>
                </c:pt>
                <c:pt idx="15">
                  <c:v>50.235480864223639</c:v>
                </c:pt>
                <c:pt idx="16">
                  <c:v>48.383041215937922</c:v>
                </c:pt>
                <c:pt idx="17">
                  <c:v>47.189153297182656</c:v>
                </c:pt>
                <c:pt idx="18">
                  <c:v>46.76643025424405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711400"/>
        <c:axId val="539711008"/>
      </c:lineChart>
      <c:catAx>
        <c:axId val="5397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539710616"/>
        <c:crosses val="autoZero"/>
        <c:auto val="1"/>
        <c:lblAlgn val="ctr"/>
        <c:lblOffset val="100"/>
        <c:noMultiLvlLbl val="0"/>
      </c:catAx>
      <c:valAx>
        <c:axId val="539710616"/>
        <c:scaling>
          <c:orientation val="minMax"/>
          <c:max val="6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en-US"/>
                  <a:t>% HDP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539710224"/>
        <c:crosses val="autoZero"/>
        <c:crossBetween val="midCat"/>
      </c:valAx>
      <c:valAx>
        <c:axId val="539711008"/>
        <c:scaling>
          <c:orientation val="minMax"/>
          <c:max val="6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en-US"/>
                  <a:t>% HDP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539711400"/>
        <c:crosses val="max"/>
        <c:crossBetween val="between"/>
      </c:valAx>
      <c:catAx>
        <c:axId val="539711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9711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7.1437654320987656E-2"/>
          <c:y val="0.14937805555555556"/>
          <c:w val="0.27567947530864201"/>
          <c:h val="0.246055000000000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NeueHaasGroteskText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NeueHaasGroteskText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8573928258989"/>
          <c:y val="6.0544254884806116E-2"/>
          <c:w val="0.87251137357830344"/>
          <c:h val="0.78209528237014658"/>
        </c:manualLayout>
      </c:layout>
      <c:lineChart>
        <c:grouping val="standard"/>
        <c:varyColors val="0"/>
        <c:ser>
          <c:idx val="0"/>
          <c:order val="0"/>
          <c:tx>
            <c:strRef>
              <c:f>'Graf 36 '!$L$1</c:f>
              <c:strCache>
                <c:ptCount val="1"/>
                <c:pt idx="0">
                  <c:v>Pokryte mesiace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trendline>
            <c:name>12M kĺzavý priemer</c:name>
            <c:spPr>
              <a:ln w="19050" cmpd="sng">
                <a:solidFill>
                  <a:srgbClr val="2C9ADC"/>
                </a:solidFill>
                <a:prstDash val="solid"/>
              </a:ln>
            </c:spPr>
            <c:trendlineType val="movingAvg"/>
            <c:period val="12"/>
            <c:dispRSqr val="0"/>
            <c:dispEq val="0"/>
          </c:trendline>
          <c:cat>
            <c:numRef>
              <c:f>'Graf 36 '!$K$2:$K$181</c:f>
              <c:numCache>
                <c:formatCode>m/d/yyyy</c:formatCode>
                <c:ptCount val="180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38837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38990</c:v>
                </c:pt>
                <c:pt idx="9">
                  <c:v>39021</c:v>
                </c:pt>
                <c:pt idx="10">
                  <c:v>39051</c:v>
                </c:pt>
                <c:pt idx="11">
                  <c:v>39082</c:v>
                </c:pt>
                <c:pt idx="12">
                  <c:v>39113</c:v>
                </c:pt>
                <c:pt idx="13">
                  <c:v>39141</c:v>
                </c:pt>
                <c:pt idx="14">
                  <c:v>39172</c:v>
                </c:pt>
                <c:pt idx="15">
                  <c:v>39202</c:v>
                </c:pt>
                <c:pt idx="16">
                  <c:v>39233</c:v>
                </c:pt>
                <c:pt idx="17">
                  <c:v>39263</c:v>
                </c:pt>
                <c:pt idx="18">
                  <c:v>39294</c:v>
                </c:pt>
                <c:pt idx="19">
                  <c:v>39325</c:v>
                </c:pt>
                <c:pt idx="20">
                  <c:v>39355</c:v>
                </c:pt>
                <c:pt idx="21">
                  <c:v>39386</c:v>
                </c:pt>
                <c:pt idx="22">
                  <c:v>39416</c:v>
                </c:pt>
                <c:pt idx="23">
                  <c:v>39447</c:v>
                </c:pt>
                <c:pt idx="24">
                  <c:v>39478</c:v>
                </c:pt>
                <c:pt idx="25">
                  <c:v>39507</c:v>
                </c:pt>
                <c:pt idx="26">
                  <c:v>39538</c:v>
                </c:pt>
                <c:pt idx="27">
                  <c:v>39568</c:v>
                </c:pt>
                <c:pt idx="28">
                  <c:v>39599</c:v>
                </c:pt>
                <c:pt idx="29">
                  <c:v>39629</c:v>
                </c:pt>
                <c:pt idx="30">
                  <c:v>39660</c:v>
                </c:pt>
                <c:pt idx="31">
                  <c:v>39691</c:v>
                </c:pt>
                <c:pt idx="32">
                  <c:v>39721</c:v>
                </c:pt>
                <c:pt idx="33">
                  <c:v>39752</c:v>
                </c:pt>
                <c:pt idx="34">
                  <c:v>39782</c:v>
                </c:pt>
                <c:pt idx="35">
                  <c:v>39813</c:v>
                </c:pt>
                <c:pt idx="36">
                  <c:v>39844</c:v>
                </c:pt>
                <c:pt idx="37">
                  <c:v>39872</c:v>
                </c:pt>
                <c:pt idx="38">
                  <c:v>39903</c:v>
                </c:pt>
                <c:pt idx="39">
                  <c:v>39933</c:v>
                </c:pt>
                <c:pt idx="40">
                  <c:v>39964</c:v>
                </c:pt>
                <c:pt idx="41">
                  <c:v>39994</c:v>
                </c:pt>
                <c:pt idx="42">
                  <c:v>40025</c:v>
                </c:pt>
                <c:pt idx="43">
                  <c:v>40056</c:v>
                </c:pt>
                <c:pt idx="44">
                  <c:v>40086</c:v>
                </c:pt>
                <c:pt idx="45">
                  <c:v>40117</c:v>
                </c:pt>
                <c:pt idx="46">
                  <c:v>40147</c:v>
                </c:pt>
                <c:pt idx="47">
                  <c:v>40178</c:v>
                </c:pt>
                <c:pt idx="48">
                  <c:v>40209</c:v>
                </c:pt>
                <c:pt idx="49">
                  <c:v>40237</c:v>
                </c:pt>
                <c:pt idx="50">
                  <c:v>40268</c:v>
                </c:pt>
                <c:pt idx="51">
                  <c:v>40298</c:v>
                </c:pt>
                <c:pt idx="52">
                  <c:v>40329</c:v>
                </c:pt>
                <c:pt idx="53">
                  <c:v>40359</c:v>
                </c:pt>
                <c:pt idx="54">
                  <c:v>40390</c:v>
                </c:pt>
                <c:pt idx="55">
                  <c:v>40421</c:v>
                </c:pt>
                <c:pt idx="56">
                  <c:v>40451</c:v>
                </c:pt>
                <c:pt idx="57">
                  <c:v>40482</c:v>
                </c:pt>
                <c:pt idx="58">
                  <c:v>40512</c:v>
                </c:pt>
                <c:pt idx="59">
                  <c:v>40543</c:v>
                </c:pt>
                <c:pt idx="60">
                  <c:v>40574</c:v>
                </c:pt>
                <c:pt idx="61">
                  <c:v>40602</c:v>
                </c:pt>
                <c:pt idx="62">
                  <c:v>40633</c:v>
                </c:pt>
                <c:pt idx="63">
                  <c:v>40663</c:v>
                </c:pt>
                <c:pt idx="64">
                  <c:v>40694</c:v>
                </c:pt>
                <c:pt idx="65">
                  <c:v>40724</c:v>
                </c:pt>
                <c:pt idx="66">
                  <c:v>40755</c:v>
                </c:pt>
                <c:pt idx="67">
                  <c:v>40786</c:v>
                </c:pt>
                <c:pt idx="68">
                  <c:v>40816</c:v>
                </c:pt>
                <c:pt idx="69">
                  <c:v>40847</c:v>
                </c:pt>
                <c:pt idx="70">
                  <c:v>40877</c:v>
                </c:pt>
                <c:pt idx="71">
                  <c:v>40908</c:v>
                </c:pt>
                <c:pt idx="72">
                  <c:v>40939</c:v>
                </c:pt>
                <c:pt idx="73">
                  <c:v>40968</c:v>
                </c:pt>
                <c:pt idx="74">
                  <c:v>40999</c:v>
                </c:pt>
                <c:pt idx="75">
                  <c:v>41029</c:v>
                </c:pt>
                <c:pt idx="76">
                  <c:v>41060</c:v>
                </c:pt>
                <c:pt idx="77">
                  <c:v>41090</c:v>
                </c:pt>
                <c:pt idx="78">
                  <c:v>41121</c:v>
                </c:pt>
                <c:pt idx="79">
                  <c:v>41152</c:v>
                </c:pt>
                <c:pt idx="80">
                  <c:v>41182</c:v>
                </c:pt>
                <c:pt idx="81">
                  <c:v>41213</c:v>
                </c:pt>
                <c:pt idx="82">
                  <c:v>41243</c:v>
                </c:pt>
                <c:pt idx="83">
                  <c:v>41274</c:v>
                </c:pt>
                <c:pt idx="84">
                  <c:v>41305</c:v>
                </c:pt>
                <c:pt idx="85">
                  <c:v>41333</c:v>
                </c:pt>
                <c:pt idx="86">
                  <c:v>41364</c:v>
                </c:pt>
                <c:pt idx="87">
                  <c:v>41394</c:v>
                </c:pt>
                <c:pt idx="88">
                  <c:v>41425</c:v>
                </c:pt>
                <c:pt idx="89">
                  <c:v>41455</c:v>
                </c:pt>
                <c:pt idx="90">
                  <c:v>41486</c:v>
                </c:pt>
                <c:pt idx="91">
                  <c:v>41517</c:v>
                </c:pt>
                <c:pt idx="92">
                  <c:v>41547</c:v>
                </c:pt>
                <c:pt idx="93">
                  <c:v>41578</c:v>
                </c:pt>
                <c:pt idx="94">
                  <c:v>41608</c:v>
                </c:pt>
                <c:pt idx="95">
                  <c:v>41639</c:v>
                </c:pt>
                <c:pt idx="96">
                  <c:v>41670</c:v>
                </c:pt>
                <c:pt idx="97">
                  <c:v>41698</c:v>
                </c:pt>
                <c:pt idx="98">
                  <c:v>41729</c:v>
                </c:pt>
                <c:pt idx="99">
                  <c:v>41759</c:v>
                </c:pt>
                <c:pt idx="100">
                  <c:v>41790</c:v>
                </c:pt>
                <c:pt idx="101">
                  <c:v>41820</c:v>
                </c:pt>
                <c:pt idx="102">
                  <c:v>41851</c:v>
                </c:pt>
                <c:pt idx="103">
                  <c:v>41882</c:v>
                </c:pt>
                <c:pt idx="104">
                  <c:v>41912</c:v>
                </c:pt>
                <c:pt idx="105">
                  <c:v>41943</c:v>
                </c:pt>
                <c:pt idx="106">
                  <c:v>41973</c:v>
                </c:pt>
                <c:pt idx="107">
                  <c:v>42004</c:v>
                </c:pt>
                <c:pt idx="108">
                  <c:v>42035</c:v>
                </c:pt>
                <c:pt idx="109">
                  <c:v>42063</c:v>
                </c:pt>
                <c:pt idx="110">
                  <c:v>42094</c:v>
                </c:pt>
                <c:pt idx="111">
                  <c:v>42124</c:v>
                </c:pt>
                <c:pt idx="112">
                  <c:v>42155</c:v>
                </c:pt>
                <c:pt idx="113">
                  <c:v>42185</c:v>
                </c:pt>
                <c:pt idx="114">
                  <c:v>42216</c:v>
                </c:pt>
                <c:pt idx="115">
                  <c:v>42247</c:v>
                </c:pt>
                <c:pt idx="116">
                  <c:v>42277</c:v>
                </c:pt>
                <c:pt idx="117">
                  <c:v>42308</c:v>
                </c:pt>
                <c:pt idx="118">
                  <c:v>42338</c:v>
                </c:pt>
                <c:pt idx="119">
                  <c:v>42369</c:v>
                </c:pt>
                <c:pt idx="120">
                  <c:v>42400</c:v>
                </c:pt>
                <c:pt idx="121">
                  <c:v>42429</c:v>
                </c:pt>
                <c:pt idx="122">
                  <c:v>42460</c:v>
                </c:pt>
                <c:pt idx="123">
                  <c:v>42490</c:v>
                </c:pt>
                <c:pt idx="124">
                  <c:v>42521</c:v>
                </c:pt>
                <c:pt idx="125">
                  <c:v>42551</c:v>
                </c:pt>
                <c:pt idx="126">
                  <c:v>42582</c:v>
                </c:pt>
                <c:pt idx="127">
                  <c:v>42613</c:v>
                </c:pt>
                <c:pt idx="128">
                  <c:v>42643</c:v>
                </c:pt>
                <c:pt idx="129">
                  <c:v>42674</c:v>
                </c:pt>
                <c:pt idx="130">
                  <c:v>42704</c:v>
                </c:pt>
                <c:pt idx="131">
                  <c:v>42735</c:v>
                </c:pt>
                <c:pt idx="132">
                  <c:v>42766</c:v>
                </c:pt>
                <c:pt idx="133">
                  <c:v>42794</c:v>
                </c:pt>
                <c:pt idx="134">
                  <c:v>42825</c:v>
                </c:pt>
                <c:pt idx="135">
                  <c:v>42855</c:v>
                </c:pt>
                <c:pt idx="136">
                  <c:v>42886</c:v>
                </c:pt>
                <c:pt idx="137">
                  <c:v>42916</c:v>
                </c:pt>
                <c:pt idx="138">
                  <c:v>42947</c:v>
                </c:pt>
                <c:pt idx="139">
                  <c:v>42978</c:v>
                </c:pt>
                <c:pt idx="140">
                  <c:v>43008</c:v>
                </c:pt>
                <c:pt idx="141">
                  <c:v>43039</c:v>
                </c:pt>
                <c:pt idx="142">
                  <c:v>43069</c:v>
                </c:pt>
                <c:pt idx="143">
                  <c:v>43100</c:v>
                </c:pt>
                <c:pt idx="144">
                  <c:v>43131</c:v>
                </c:pt>
                <c:pt idx="145">
                  <c:v>43159</c:v>
                </c:pt>
                <c:pt idx="146">
                  <c:v>43190</c:v>
                </c:pt>
                <c:pt idx="147">
                  <c:v>43220</c:v>
                </c:pt>
                <c:pt idx="148">
                  <c:v>43251</c:v>
                </c:pt>
                <c:pt idx="149">
                  <c:v>43281</c:v>
                </c:pt>
                <c:pt idx="150">
                  <c:v>43312</c:v>
                </c:pt>
                <c:pt idx="151">
                  <c:v>43343</c:v>
                </c:pt>
                <c:pt idx="152">
                  <c:v>43373</c:v>
                </c:pt>
                <c:pt idx="153">
                  <c:v>43404</c:v>
                </c:pt>
                <c:pt idx="154">
                  <c:v>43434</c:v>
                </c:pt>
                <c:pt idx="155">
                  <c:v>43465</c:v>
                </c:pt>
                <c:pt idx="156">
                  <c:v>43496</c:v>
                </c:pt>
                <c:pt idx="157">
                  <c:v>43524</c:v>
                </c:pt>
                <c:pt idx="158">
                  <c:v>43555</c:v>
                </c:pt>
                <c:pt idx="159">
                  <c:v>43585</c:v>
                </c:pt>
                <c:pt idx="160">
                  <c:v>43616</c:v>
                </c:pt>
                <c:pt idx="161">
                  <c:v>43646</c:v>
                </c:pt>
                <c:pt idx="162">
                  <c:v>43677</c:v>
                </c:pt>
                <c:pt idx="163">
                  <c:v>43708</c:v>
                </c:pt>
                <c:pt idx="164">
                  <c:v>43738</c:v>
                </c:pt>
                <c:pt idx="165">
                  <c:v>43769</c:v>
                </c:pt>
                <c:pt idx="166">
                  <c:v>43799</c:v>
                </c:pt>
                <c:pt idx="167">
                  <c:v>43830</c:v>
                </c:pt>
                <c:pt idx="168">
                  <c:v>43861</c:v>
                </c:pt>
                <c:pt idx="169">
                  <c:v>43890</c:v>
                </c:pt>
                <c:pt idx="170">
                  <c:v>43921</c:v>
                </c:pt>
                <c:pt idx="171">
                  <c:v>43951</c:v>
                </c:pt>
                <c:pt idx="172">
                  <c:v>43982</c:v>
                </c:pt>
                <c:pt idx="173">
                  <c:v>44012</c:v>
                </c:pt>
                <c:pt idx="174">
                  <c:v>44043</c:v>
                </c:pt>
                <c:pt idx="175">
                  <c:v>44074</c:v>
                </c:pt>
                <c:pt idx="176">
                  <c:v>44104</c:v>
                </c:pt>
                <c:pt idx="177">
                  <c:v>44135</c:v>
                </c:pt>
                <c:pt idx="178">
                  <c:v>44165</c:v>
                </c:pt>
                <c:pt idx="179">
                  <c:v>44196</c:v>
                </c:pt>
              </c:numCache>
            </c:numRef>
          </c:cat>
          <c:val>
            <c:numRef>
              <c:f>'Graf 36 '!$L$2:$L$181</c:f>
              <c:numCache>
                <c:formatCode>#,##0</c:formatCode>
                <c:ptCount val="180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7</c:v>
                </c:pt>
                <c:pt idx="41">
                  <c:v>6</c:v>
                </c:pt>
                <c:pt idx="42">
                  <c:v>5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4</c:v>
                </c:pt>
                <c:pt idx="56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5</c:v>
                </c:pt>
                <c:pt idx="67">
                  <c:v>4</c:v>
                </c:pt>
                <c:pt idx="68">
                  <c:v>4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9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6</c:v>
                </c:pt>
                <c:pt idx="81">
                  <c:v>5</c:v>
                </c:pt>
                <c:pt idx="82">
                  <c:v>4</c:v>
                </c:pt>
                <c:pt idx="83">
                  <c:v>3</c:v>
                </c:pt>
                <c:pt idx="84">
                  <c:v>3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4</c:v>
                </c:pt>
                <c:pt idx="96">
                  <c:v>9</c:v>
                </c:pt>
                <c:pt idx="97">
                  <c:v>10</c:v>
                </c:pt>
                <c:pt idx="98">
                  <c:v>9</c:v>
                </c:pt>
                <c:pt idx="99">
                  <c:v>10</c:v>
                </c:pt>
                <c:pt idx="100">
                  <c:v>8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7</c:v>
                </c:pt>
                <c:pt idx="105">
                  <c:v>4</c:v>
                </c:pt>
                <c:pt idx="106">
                  <c:v>6</c:v>
                </c:pt>
                <c:pt idx="107">
                  <c:v>1</c:v>
                </c:pt>
                <c:pt idx="108">
                  <c:v>1</c:v>
                </c:pt>
                <c:pt idx="109">
                  <c:v>8</c:v>
                </c:pt>
                <c:pt idx="110">
                  <c:v>7</c:v>
                </c:pt>
                <c:pt idx="111">
                  <c:v>7</c:v>
                </c:pt>
                <c:pt idx="112">
                  <c:v>6</c:v>
                </c:pt>
                <c:pt idx="113">
                  <c:v>8</c:v>
                </c:pt>
                <c:pt idx="114">
                  <c:v>7</c:v>
                </c:pt>
                <c:pt idx="115">
                  <c:v>6</c:v>
                </c:pt>
                <c:pt idx="116">
                  <c:v>5</c:v>
                </c:pt>
                <c:pt idx="117">
                  <c:v>4</c:v>
                </c:pt>
                <c:pt idx="118">
                  <c:v>5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4</c:v>
                </c:pt>
                <c:pt idx="123">
                  <c:v>6</c:v>
                </c:pt>
                <c:pt idx="124">
                  <c:v>6</c:v>
                </c:pt>
                <c:pt idx="125">
                  <c:v>7</c:v>
                </c:pt>
                <c:pt idx="126">
                  <c:v>6</c:v>
                </c:pt>
                <c:pt idx="127" formatCode="General">
                  <c:v>5</c:v>
                </c:pt>
                <c:pt idx="128">
                  <c:v>3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2</c:v>
                </c:pt>
                <c:pt idx="133">
                  <c:v>3</c:v>
                </c:pt>
                <c:pt idx="134">
                  <c:v>8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6</c:v>
                </c:pt>
                <c:pt idx="139">
                  <c:v>5</c:v>
                </c:pt>
                <c:pt idx="140">
                  <c:v>6</c:v>
                </c:pt>
                <c:pt idx="141">
                  <c:v>7</c:v>
                </c:pt>
                <c:pt idx="142">
                  <c:v>12</c:v>
                </c:pt>
                <c:pt idx="143">
                  <c:v>11</c:v>
                </c:pt>
                <c:pt idx="144">
                  <c:v>9</c:v>
                </c:pt>
                <c:pt idx="145">
                  <c:v>9</c:v>
                </c:pt>
                <c:pt idx="146">
                  <c:v>7</c:v>
                </c:pt>
                <c:pt idx="147">
                  <c:v>6</c:v>
                </c:pt>
                <c:pt idx="148">
                  <c:v>5</c:v>
                </c:pt>
                <c:pt idx="149">
                  <c:v>6</c:v>
                </c:pt>
                <c:pt idx="150">
                  <c:v>6</c:v>
                </c:pt>
                <c:pt idx="151">
                  <c:v>4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9</c:v>
                </c:pt>
                <c:pt idx="156">
                  <c:v>8</c:v>
                </c:pt>
                <c:pt idx="157">
                  <c:v>8</c:v>
                </c:pt>
                <c:pt idx="158">
                  <c:v>9</c:v>
                </c:pt>
                <c:pt idx="159">
                  <c:v>9</c:v>
                </c:pt>
                <c:pt idx="160">
                  <c:v>10</c:v>
                </c:pt>
                <c:pt idx="161">
                  <c:v>9</c:v>
                </c:pt>
                <c:pt idx="162">
                  <c:v>8</c:v>
                </c:pt>
                <c:pt idx="163">
                  <c:v>7</c:v>
                </c:pt>
                <c:pt idx="164">
                  <c:v>6</c:v>
                </c:pt>
                <c:pt idx="165">
                  <c:v>7</c:v>
                </c:pt>
                <c:pt idx="166">
                  <c:v>5</c:v>
                </c:pt>
                <c:pt idx="167">
                  <c:v>4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12184"/>
        <c:axId val="539712576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spPr>
                  <a:ln>
                    <a:solidFill>
                      <a:srgbClr val="00B05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'Graf 36 '!$K$2:$K$181</c15:sqref>
                        </c15:formulaRef>
                      </c:ext>
                    </c:extLst>
                    <c:numCache>
                      <c:formatCode>m/d/yyyy</c:formatCode>
                      <c:ptCount val="180"/>
                      <c:pt idx="0">
                        <c:v>38748</c:v>
                      </c:pt>
                      <c:pt idx="1">
                        <c:v>38776</c:v>
                      </c:pt>
                      <c:pt idx="2">
                        <c:v>38807</c:v>
                      </c:pt>
                      <c:pt idx="3">
                        <c:v>38837</c:v>
                      </c:pt>
                      <c:pt idx="4">
                        <c:v>38868</c:v>
                      </c:pt>
                      <c:pt idx="5">
                        <c:v>38898</c:v>
                      </c:pt>
                      <c:pt idx="6">
                        <c:v>38929</c:v>
                      </c:pt>
                      <c:pt idx="7">
                        <c:v>38960</c:v>
                      </c:pt>
                      <c:pt idx="8">
                        <c:v>38990</c:v>
                      </c:pt>
                      <c:pt idx="9">
                        <c:v>39021</c:v>
                      </c:pt>
                      <c:pt idx="10">
                        <c:v>39051</c:v>
                      </c:pt>
                      <c:pt idx="11">
                        <c:v>39082</c:v>
                      </c:pt>
                      <c:pt idx="12">
                        <c:v>39113</c:v>
                      </c:pt>
                      <c:pt idx="13">
                        <c:v>39141</c:v>
                      </c:pt>
                      <c:pt idx="14">
                        <c:v>39172</c:v>
                      </c:pt>
                      <c:pt idx="15">
                        <c:v>39202</c:v>
                      </c:pt>
                      <c:pt idx="16">
                        <c:v>39233</c:v>
                      </c:pt>
                      <c:pt idx="17">
                        <c:v>39263</c:v>
                      </c:pt>
                      <c:pt idx="18">
                        <c:v>39294</c:v>
                      </c:pt>
                      <c:pt idx="19">
                        <c:v>39325</c:v>
                      </c:pt>
                      <c:pt idx="20">
                        <c:v>39355</c:v>
                      </c:pt>
                      <c:pt idx="21">
                        <c:v>39386</c:v>
                      </c:pt>
                      <c:pt idx="22">
                        <c:v>39416</c:v>
                      </c:pt>
                      <c:pt idx="23">
                        <c:v>39447</c:v>
                      </c:pt>
                      <c:pt idx="24">
                        <c:v>39478</c:v>
                      </c:pt>
                      <c:pt idx="25">
                        <c:v>39507</c:v>
                      </c:pt>
                      <c:pt idx="26">
                        <c:v>39538</c:v>
                      </c:pt>
                      <c:pt idx="27">
                        <c:v>39568</c:v>
                      </c:pt>
                      <c:pt idx="28">
                        <c:v>39599</c:v>
                      </c:pt>
                      <c:pt idx="29">
                        <c:v>39629</c:v>
                      </c:pt>
                      <c:pt idx="30">
                        <c:v>39660</c:v>
                      </c:pt>
                      <c:pt idx="31">
                        <c:v>39691</c:v>
                      </c:pt>
                      <c:pt idx="32">
                        <c:v>39721</c:v>
                      </c:pt>
                      <c:pt idx="33">
                        <c:v>39752</c:v>
                      </c:pt>
                      <c:pt idx="34">
                        <c:v>39782</c:v>
                      </c:pt>
                      <c:pt idx="35">
                        <c:v>39813</c:v>
                      </c:pt>
                      <c:pt idx="36">
                        <c:v>39844</c:v>
                      </c:pt>
                      <c:pt idx="37">
                        <c:v>39872</c:v>
                      </c:pt>
                      <c:pt idx="38">
                        <c:v>39903</c:v>
                      </c:pt>
                      <c:pt idx="39">
                        <c:v>39933</c:v>
                      </c:pt>
                      <c:pt idx="40">
                        <c:v>39964</c:v>
                      </c:pt>
                      <c:pt idx="41">
                        <c:v>39994</c:v>
                      </c:pt>
                      <c:pt idx="42">
                        <c:v>40025</c:v>
                      </c:pt>
                      <c:pt idx="43">
                        <c:v>40056</c:v>
                      </c:pt>
                      <c:pt idx="44">
                        <c:v>40086</c:v>
                      </c:pt>
                      <c:pt idx="45">
                        <c:v>40117</c:v>
                      </c:pt>
                      <c:pt idx="46">
                        <c:v>40147</c:v>
                      </c:pt>
                      <c:pt idx="47">
                        <c:v>40178</c:v>
                      </c:pt>
                      <c:pt idx="48">
                        <c:v>40209</c:v>
                      </c:pt>
                      <c:pt idx="49">
                        <c:v>40237</c:v>
                      </c:pt>
                      <c:pt idx="50">
                        <c:v>40268</c:v>
                      </c:pt>
                      <c:pt idx="51">
                        <c:v>40298</c:v>
                      </c:pt>
                      <c:pt idx="52">
                        <c:v>40329</c:v>
                      </c:pt>
                      <c:pt idx="53">
                        <c:v>40359</c:v>
                      </c:pt>
                      <c:pt idx="54">
                        <c:v>40390</c:v>
                      </c:pt>
                      <c:pt idx="55">
                        <c:v>40421</c:v>
                      </c:pt>
                      <c:pt idx="56">
                        <c:v>40451</c:v>
                      </c:pt>
                      <c:pt idx="57">
                        <c:v>40482</c:v>
                      </c:pt>
                      <c:pt idx="58">
                        <c:v>40512</c:v>
                      </c:pt>
                      <c:pt idx="59">
                        <c:v>40543</c:v>
                      </c:pt>
                      <c:pt idx="60">
                        <c:v>40574</c:v>
                      </c:pt>
                      <c:pt idx="61">
                        <c:v>40602</c:v>
                      </c:pt>
                      <c:pt idx="62">
                        <c:v>40633</c:v>
                      </c:pt>
                      <c:pt idx="63">
                        <c:v>40663</c:v>
                      </c:pt>
                      <c:pt idx="64">
                        <c:v>40694</c:v>
                      </c:pt>
                      <c:pt idx="65">
                        <c:v>40724</c:v>
                      </c:pt>
                      <c:pt idx="66">
                        <c:v>40755</c:v>
                      </c:pt>
                      <c:pt idx="67">
                        <c:v>40786</c:v>
                      </c:pt>
                      <c:pt idx="68">
                        <c:v>40816</c:v>
                      </c:pt>
                      <c:pt idx="69">
                        <c:v>40847</c:v>
                      </c:pt>
                      <c:pt idx="70">
                        <c:v>40877</c:v>
                      </c:pt>
                      <c:pt idx="71">
                        <c:v>40908</c:v>
                      </c:pt>
                      <c:pt idx="72">
                        <c:v>40939</c:v>
                      </c:pt>
                      <c:pt idx="73">
                        <c:v>40968</c:v>
                      </c:pt>
                      <c:pt idx="74">
                        <c:v>40999</c:v>
                      </c:pt>
                      <c:pt idx="75">
                        <c:v>41029</c:v>
                      </c:pt>
                      <c:pt idx="76">
                        <c:v>41060</c:v>
                      </c:pt>
                      <c:pt idx="77">
                        <c:v>41090</c:v>
                      </c:pt>
                      <c:pt idx="78">
                        <c:v>41121</c:v>
                      </c:pt>
                      <c:pt idx="79">
                        <c:v>41152</c:v>
                      </c:pt>
                      <c:pt idx="80">
                        <c:v>41182</c:v>
                      </c:pt>
                      <c:pt idx="81">
                        <c:v>41213</c:v>
                      </c:pt>
                      <c:pt idx="82">
                        <c:v>41243</c:v>
                      </c:pt>
                      <c:pt idx="83">
                        <c:v>41274</c:v>
                      </c:pt>
                      <c:pt idx="84">
                        <c:v>41305</c:v>
                      </c:pt>
                      <c:pt idx="85">
                        <c:v>41333</c:v>
                      </c:pt>
                      <c:pt idx="86">
                        <c:v>41364</c:v>
                      </c:pt>
                      <c:pt idx="87">
                        <c:v>41394</c:v>
                      </c:pt>
                      <c:pt idx="88">
                        <c:v>41425</c:v>
                      </c:pt>
                      <c:pt idx="89">
                        <c:v>41455</c:v>
                      </c:pt>
                      <c:pt idx="90">
                        <c:v>41486</c:v>
                      </c:pt>
                      <c:pt idx="91">
                        <c:v>41517</c:v>
                      </c:pt>
                      <c:pt idx="92">
                        <c:v>41547</c:v>
                      </c:pt>
                      <c:pt idx="93">
                        <c:v>41578</c:v>
                      </c:pt>
                      <c:pt idx="94">
                        <c:v>41608</c:v>
                      </c:pt>
                      <c:pt idx="95">
                        <c:v>41639</c:v>
                      </c:pt>
                      <c:pt idx="96">
                        <c:v>41670</c:v>
                      </c:pt>
                      <c:pt idx="97">
                        <c:v>41698</c:v>
                      </c:pt>
                      <c:pt idx="98">
                        <c:v>41729</c:v>
                      </c:pt>
                      <c:pt idx="99">
                        <c:v>41759</c:v>
                      </c:pt>
                      <c:pt idx="100">
                        <c:v>41790</c:v>
                      </c:pt>
                      <c:pt idx="101">
                        <c:v>41820</c:v>
                      </c:pt>
                      <c:pt idx="102">
                        <c:v>41851</c:v>
                      </c:pt>
                      <c:pt idx="103">
                        <c:v>41882</c:v>
                      </c:pt>
                      <c:pt idx="104">
                        <c:v>41912</c:v>
                      </c:pt>
                      <c:pt idx="105">
                        <c:v>41943</c:v>
                      </c:pt>
                      <c:pt idx="106">
                        <c:v>41973</c:v>
                      </c:pt>
                      <c:pt idx="107">
                        <c:v>42004</c:v>
                      </c:pt>
                      <c:pt idx="108">
                        <c:v>42035</c:v>
                      </c:pt>
                      <c:pt idx="109">
                        <c:v>42063</c:v>
                      </c:pt>
                      <c:pt idx="110">
                        <c:v>42094</c:v>
                      </c:pt>
                      <c:pt idx="111">
                        <c:v>42124</c:v>
                      </c:pt>
                      <c:pt idx="112">
                        <c:v>42155</c:v>
                      </c:pt>
                      <c:pt idx="113">
                        <c:v>42185</c:v>
                      </c:pt>
                      <c:pt idx="114">
                        <c:v>42216</c:v>
                      </c:pt>
                      <c:pt idx="115">
                        <c:v>42247</c:v>
                      </c:pt>
                      <c:pt idx="116">
                        <c:v>42277</c:v>
                      </c:pt>
                      <c:pt idx="117">
                        <c:v>42308</c:v>
                      </c:pt>
                      <c:pt idx="118">
                        <c:v>42338</c:v>
                      </c:pt>
                      <c:pt idx="119">
                        <c:v>42369</c:v>
                      </c:pt>
                      <c:pt idx="120">
                        <c:v>42400</c:v>
                      </c:pt>
                      <c:pt idx="121">
                        <c:v>42429</c:v>
                      </c:pt>
                      <c:pt idx="122">
                        <c:v>42460</c:v>
                      </c:pt>
                      <c:pt idx="123">
                        <c:v>42490</c:v>
                      </c:pt>
                      <c:pt idx="124">
                        <c:v>42521</c:v>
                      </c:pt>
                      <c:pt idx="125">
                        <c:v>42551</c:v>
                      </c:pt>
                      <c:pt idx="126">
                        <c:v>42582</c:v>
                      </c:pt>
                      <c:pt idx="127">
                        <c:v>42613</c:v>
                      </c:pt>
                      <c:pt idx="128">
                        <c:v>42643</c:v>
                      </c:pt>
                      <c:pt idx="129">
                        <c:v>42674</c:v>
                      </c:pt>
                      <c:pt idx="130">
                        <c:v>42704</c:v>
                      </c:pt>
                      <c:pt idx="131">
                        <c:v>42735</c:v>
                      </c:pt>
                      <c:pt idx="132">
                        <c:v>42766</c:v>
                      </c:pt>
                      <c:pt idx="133">
                        <c:v>42794</c:v>
                      </c:pt>
                      <c:pt idx="134">
                        <c:v>42825</c:v>
                      </c:pt>
                      <c:pt idx="135">
                        <c:v>42855</c:v>
                      </c:pt>
                      <c:pt idx="136">
                        <c:v>42886</c:v>
                      </c:pt>
                      <c:pt idx="137">
                        <c:v>42916</c:v>
                      </c:pt>
                      <c:pt idx="138">
                        <c:v>42947</c:v>
                      </c:pt>
                      <c:pt idx="139">
                        <c:v>42978</c:v>
                      </c:pt>
                      <c:pt idx="140">
                        <c:v>43008</c:v>
                      </c:pt>
                      <c:pt idx="141">
                        <c:v>43039</c:v>
                      </c:pt>
                      <c:pt idx="142">
                        <c:v>43069</c:v>
                      </c:pt>
                      <c:pt idx="143">
                        <c:v>43100</c:v>
                      </c:pt>
                      <c:pt idx="144">
                        <c:v>43131</c:v>
                      </c:pt>
                      <c:pt idx="145">
                        <c:v>43159</c:v>
                      </c:pt>
                      <c:pt idx="146">
                        <c:v>43190</c:v>
                      </c:pt>
                      <c:pt idx="147">
                        <c:v>43220</c:v>
                      </c:pt>
                      <c:pt idx="148">
                        <c:v>43251</c:v>
                      </c:pt>
                      <c:pt idx="149">
                        <c:v>43281</c:v>
                      </c:pt>
                      <c:pt idx="150">
                        <c:v>43312</c:v>
                      </c:pt>
                      <c:pt idx="151">
                        <c:v>43343</c:v>
                      </c:pt>
                      <c:pt idx="152">
                        <c:v>43373</c:v>
                      </c:pt>
                      <c:pt idx="153">
                        <c:v>43404</c:v>
                      </c:pt>
                      <c:pt idx="154">
                        <c:v>43434</c:v>
                      </c:pt>
                      <c:pt idx="155">
                        <c:v>43465</c:v>
                      </c:pt>
                      <c:pt idx="156">
                        <c:v>43496</c:v>
                      </c:pt>
                      <c:pt idx="157">
                        <c:v>43524</c:v>
                      </c:pt>
                      <c:pt idx="158">
                        <c:v>43555</c:v>
                      </c:pt>
                      <c:pt idx="159">
                        <c:v>43585</c:v>
                      </c:pt>
                      <c:pt idx="160">
                        <c:v>43616</c:v>
                      </c:pt>
                      <c:pt idx="161">
                        <c:v>43646</c:v>
                      </c:pt>
                      <c:pt idx="162">
                        <c:v>43677</c:v>
                      </c:pt>
                      <c:pt idx="163">
                        <c:v>43708</c:v>
                      </c:pt>
                      <c:pt idx="164">
                        <c:v>43738</c:v>
                      </c:pt>
                      <c:pt idx="165">
                        <c:v>43769</c:v>
                      </c:pt>
                      <c:pt idx="166">
                        <c:v>43799</c:v>
                      </c:pt>
                      <c:pt idx="167">
                        <c:v>43830</c:v>
                      </c:pt>
                      <c:pt idx="168">
                        <c:v>43861</c:v>
                      </c:pt>
                      <c:pt idx="169">
                        <c:v>43890</c:v>
                      </c:pt>
                      <c:pt idx="170">
                        <c:v>43921</c:v>
                      </c:pt>
                      <c:pt idx="171">
                        <c:v>43951</c:v>
                      </c:pt>
                      <c:pt idx="172">
                        <c:v>43982</c:v>
                      </c:pt>
                      <c:pt idx="173">
                        <c:v>44012</c:v>
                      </c:pt>
                      <c:pt idx="174">
                        <c:v>44043</c:v>
                      </c:pt>
                      <c:pt idx="175">
                        <c:v>44074</c:v>
                      </c:pt>
                      <c:pt idx="176">
                        <c:v>44104</c:v>
                      </c:pt>
                      <c:pt idx="177">
                        <c:v>44135</c:v>
                      </c:pt>
                      <c:pt idx="178">
                        <c:v>44165</c:v>
                      </c:pt>
                      <c:pt idx="179">
                        <c:v>44196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'Udaje pre výpočet rezervy'!#REF!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539712184"/>
        <c:scaling>
          <c:orientation val="minMax"/>
          <c:min val="39814"/>
        </c:scaling>
        <c:delete val="0"/>
        <c:axPos val="b"/>
        <c:numFmt formatCode="[$-41B]mmm\-yy;@" sourceLinked="0"/>
        <c:majorTickMark val="none"/>
        <c:minorTickMark val="none"/>
        <c:tickLblPos val="low"/>
        <c:crossAx val="539712576"/>
        <c:crosses val="autoZero"/>
        <c:auto val="0"/>
        <c:lblOffset val="100"/>
        <c:baseTimeUnit val="months"/>
        <c:majorUnit val="6"/>
        <c:majorTimeUnit val="months"/>
      </c:dateAx>
      <c:valAx>
        <c:axId val="539712576"/>
        <c:scaling>
          <c:orientation val="minMax"/>
          <c:max val="1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539712184"/>
        <c:crosses val="autoZero"/>
        <c:crossBetween val="between"/>
        <c:majorUnit val="2"/>
      </c:valAx>
      <c:spPr>
        <a:noFill/>
      </c:spPr>
    </c:plotArea>
    <c:legend>
      <c:legendPos val="t"/>
      <c:layout>
        <c:manualLayout>
          <c:xMode val="edge"/>
          <c:yMode val="edge"/>
          <c:x val="7.4999999999999997E-2"/>
          <c:y val="5.4120541205412057E-2"/>
          <c:w val="0.59276815398075244"/>
          <c:h val="7.7083999186448551E-2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70331135969799E-2"/>
          <c:y val="5.1400756493756007E-2"/>
          <c:w val="0.87073370351471469"/>
          <c:h val="0.76573470477047967"/>
        </c:manualLayout>
      </c:layout>
      <c:lineChart>
        <c:grouping val="standard"/>
        <c:varyColors val="0"/>
        <c:ser>
          <c:idx val="0"/>
          <c:order val="0"/>
          <c:tx>
            <c:strRef>
              <c:f>'Graf 5+6'!$H$18</c:f>
              <c:strCache>
                <c:ptCount val="1"/>
                <c:pt idx="0">
                  <c:v>Slovakia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5+6'!$I$2:$AT$2</c:f>
              <c:numCache>
                <c:formatCode>#\ ##0.0</c:formatCode>
                <c:ptCount val="38"/>
                <c:pt idx="0">
                  <c:v>2.5230000000000001</c:v>
                </c:pt>
                <c:pt idx="1">
                  <c:v>2.258</c:v>
                </c:pt>
                <c:pt idx="2">
                  <c:v>2.1739999999999999</c:v>
                </c:pt>
                <c:pt idx="3">
                  <c:v>2.375</c:v>
                </c:pt>
                <c:pt idx="4">
                  <c:v>2.2370000000000001</c:v>
                </c:pt>
                <c:pt idx="5">
                  <c:v>2.0880000000000001</c:v>
                </c:pt>
                <c:pt idx="6">
                  <c:v>1.9750000000000001</c:v>
                </c:pt>
                <c:pt idx="7">
                  <c:v>1.716</c:v>
                </c:pt>
                <c:pt idx="8">
                  <c:v>1.53</c:v>
                </c:pt>
                <c:pt idx="9">
                  <c:v>1.47</c:v>
                </c:pt>
                <c:pt idx="10">
                  <c:v>1.3679999999999999</c:v>
                </c:pt>
                <c:pt idx="11">
                  <c:v>1.167</c:v>
                </c:pt>
                <c:pt idx="12">
                  <c:v>0.77500000000000002</c:v>
                </c:pt>
                <c:pt idx="13">
                  <c:v>0.8</c:v>
                </c:pt>
                <c:pt idx="14">
                  <c:v>0.51200000000000001</c:v>
                </c:pt>
                <c:pt idx="15">
                  <c:v>0.54900000000000004</c:v>
                </c:pt>
                <c:pt idx="16">
                  <c:v>0.82</c:v>
                </c:pt>
                <c:pt idx="17">
                  <c:v>1.383</c:v>
                </c:pt>
                <c:pt idx="18">
                  <c:v>0.97399999999999998</c:v>
                </c:pt>
                <c:pt idx="19">
                  <c:v>1.1120000000000001</c:v>
                </c:pt>
                <c:pt idx="20">
                  <c:v>0.82699999999999996</c:v>
                </c:pt>
                <c:pt idx="21">
                  <c:v>0.77300000000000002</c:v>
                </c:pt>
                <c:pt idx="22">
                  <c:v>0.65900000000000003</c:v>
                </c:pt>
                <c:pt idx="23">
                  <c:v>0.78400000000000003</c:v>
                </c:pt>
                <c:pt idx="24">
                  <c:v>0.629</c:v>
                </c:pt>
                <c:pt idx="25">
                  <c:v>0.41</c:v>
                </c:pt>
                <c:pt idx="26">
                  <c:v>0.39900000000000002</c:v>
                </c:pt>
                <c:pt idx="27">
                  <c:v>0.52300000000000002</c:v>
                </c:pt>
                <c:pt idx="28">
                  <c:v>0.88800000000000001</c:v>
                </c:pt>
                <c:pt idx="29">
                  <c:v>0.63700000000000001</c:v>
                </c:pt>
                <c:pt idx="30">
                  <c:v>0.33200000000000002</c:v>
                </c:pt>
                <c:pt idx="31">
                  <c:v>0.30499999999999999</c:v>
                </c:pt>
                <c:pt idx="32">
                  <c:v>0.30399999999999999</c:v>
                </c:pt>
                <c:pt idx="33">
                  <c:v>0.57999999999999996</c:v>
                </c:pt>
                <c:pt idx="34">
                  <c:v>1.0329999999999999</c:v>
                </c:pt>
                <c:pt idx="35">
                  <c:v>0.94399999999999995</c:v>
                </c:pt>
                <c:pt idx="36">
                  <c:v>1.1080000000000001</c:v>
                </c:pt>
                <c:pt idx="37">
                  <c:v>1.044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5+6'!$H$21</c:f>
              <c:strCache>
                <c:ptCount val="1"/>
                <c:pt idx="0">
                  <c:v>Czech Rep.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5+6'!$I$5:$AT$5</c:f>
              <c:numCache>
                <c:formatCode>#\ ##0.0</c:formatCode>
                <c:ptCount val="38"/>
                <c:pt idx="0">
                  <c:v>2.2959999999999998</c:v>
                </c:pt>
                <c:pt idx="1">
                  <c:v>2.206</c:v>
                </c:pt>
                <c:pt idx="2">
                  <c:v>2.125</c:v>
                </c:pt>
                <c:pt idx="3">
                  <c:v>1.861</c:v>
                </c:pt>
                <c:pt idx="4">
                  <c:v>1.6579999999999999</c:v>
                </c:pt>
                <c:pt idx="5">
                  <c:v>1.464</c:v>
                </c:pt>
                <c:pt idx="6">
                  <c:v>1.4570000000000001</c:v>
                </c:pt>
                <c:pt idx="7">
                  <c:v>1.21</c:v>
                </c:pt>
                <c:pt idx="8">
                  <c:v>1.175</c:v>
                </c:pt>
                <c:pt idx="9">
                  <c:v>0.92200000000000004</c:v>
                </c:pt>
                <c:pt idx="10">
                  <c:v>0.74099999999999999</c:v>
                </c:pt>
                <c:pt idx="11">
                  <c:v>0.73899999999999999</c:v>
                </c:pt>
                <c:pt idx="12">
                  <c:v>0.377</c:v>
                </c:pt>
                <c:pt idx="13">
                  <c:v>0.629</c:v>
                </c:pt>
                <c:pt idx="14">
                  <c:v>0.46</c:v>
                </c:pt>
                <c:pt idx="15">
                  <c:v>0.55800000000000005</c:v>
                </c:pt>
                <c:pt idx="16">
                  <c:v>0.82</c:v>
                </c:pt>
                <c:pt idx="17">
                  <c:v>1.258</c:v>
                </c:pt>
                <c:pt idx="18">
                  <c:v>0.90100000000000002</c:v>
                </c:pt>
                <c:pt idx="19">
                  <c:v>0.88</c:v>
                </c:pt>
                <c:pt idx="20">
                  <c:v>0.66</c:v>
                </c:pt>
                <c:pt idx="21">
                  <c:v>0.501</c:v>
                </c:pt>
                <c:pt idx="22">
                  <c:v>0.44700000000000001</c:v>
                </c:pt>
                <c:pt idx="23">
                  <c:v>0.52900000000000003</c:v>
                </c:pt>
                <c:pt idx="24">
                  <c:v>0.61199999999999999</c:v>
                </c:pt>
                <c:pt idx="25">
                  <c:v>0.33200000000000002</c:v>
                </c:pt>
                <c:pt idx="26">
                  <c:v>0.40699999999999997</c:v>
                </c:pt>
                <c:pt idx="27">
                  <c:v>0.48899999999999999</c:v>
                </c:pt>
                <c:pt idx="28">
                  <c:v>0.55000000000000004</c:v>
                </c:pt>
                <c:pt idx="29">
                  <c:v>0.45200000000000001</c:v>
                </c:pt>
                <c:pt idx="30">
                  <c:v>0.35299999999999998</c:v>
                </c:pt>
                <c:pt idx="31">
                  <c:v>0.27300000000000002</c:v>
                </c:pt>
                <c:pt idx="32">
                  <c:v>0.26400000000000001</c:v>
                </c:pt>
                <c:pt idx="33">
                  <c:v>0.48099999999999998</c:v>
                </c:pt>
                <c:pt idx="34">
                  <c:v>0.54900000000000004</c:v>
                </c:pt>
                <c:pt idx="35">
                  <c:v>0.434</c:v>
                </c:pt>
                <c:pt idx="36">
                  <c:v>0.439</c:v>
                </c:pt>
                <c:pt idx="37">
                  <c:v>0.61299999999999999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5+6'!$H$22</c:f>
              <c:strCache>
                <c:ptCount val="1"/>
                <c:pt idx="0">
                  <c:v>Poland</c:v>
                </c:pt>
              </c:strCache>
            </c:strRef>
          </c:tx>
          <c:spPr>
            <a:ln w="19050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5+6'!$I$6:$AT$6</c:f>
              <c:numCache>
                <c:formatCode>#\ ##0.0</c:formatCode>
                <c:ptCount val="38"/>
                <c:pt idx="0">
                  <c:v>2.9140000000000001</c:v>
                </c:pt>
                <c:pt idx="1">
                  <c:v>2.6520000000000001</c:v>
                </c:pt>
                <c:pt idx="2">
                  <c:v>2.601</c:v>
                </c:pt>
                <c:pt idx="3">
                  <c:v>2.4359999999999999</c:v>
                </c:pt>
                <c:pt idx="4">
                  <c:v>2.2149999999999999</c:v>
                </c:pt>
                <c:pt idx="5">
                  <c:v>2.121</c:v>
                </c:pt>
                <c:pt idx="6">
                  <c:v>1.948</c:v>
                </c:pt>
                <c:pt idx="7">
                  <c:v>1.702</c:v>
                </c:pt>
                <c:pt idx="8">
                  <c:v>1.71</c:v>
                </c:pt>
                <c:pt idx="9">
                  <c:v>1.494</c:v>
                </c:pt>
                <c:pt idx="10">
                  <c:v>1.343</c:v>
                </c:pt>
                <c:pt idx="11">
                  <c:v>1.264</c:v>
                </c:pt>
                <c:pt idx="12">
                  <c:v>0.96599999999999997</c:v>
                </c:pt>
                <c:pt idx="13">
                  <c:v>0.69799999999999995</c:v>
                </c:pt>
                <c:pt idx="14">
                  <c:v>0.67900000000000005</c:v>
                </c:pt>
                <c:pt idx="15">
                  <c:v>0.78700000000000003</c:v>
                </c:pt>
                <c:pt idx="16">
                  <c:v>1.266</c:v>
                </c:pt>
                <c:pt idx="17">
                  <c:v>1.8319999999999999</c:v>
                </c:pt>
                <c:pt idx="18">
                  <c:v>1.4729999999999999</c:v>
                </c:pt>
                <c:pt idx="19">
                  <c:v>1.399</c:v>
                </c:pt>
                <c:pt idx="20">
                  <c:v>1.399</c:v>
                </c:pt>
                <c:pt idx="21">
                  <c:v>1.343</c:v>
                </c:pt>
                <c:pt idx="22">
                  <c:v>1.2070000000000001</c:v>
                </c:pt>
                <c:pt idx="23">
                  <c:v>1.2190000000000001</c:v>
                </c:pt>
                <c:pt idx="24">
                  <c:v>1.5550000000000002</c:v>
                </c:pt>
                <c:pt idx="25">
                  <c:v>1.2589999999999999</c:v>
                </c:pt>
                <c:pt idx="26">
                  <c:v>1.252</c:v>
                </c:pt>
                <c:pt idx="27">
                  <c:v>1.252</c:v>
                </c:pt>
                <c:pt idx="28">
                  <c:v>1.2210000000000001</c:v>
                </c:pt>
                <c:pt idx="29">
                  <c:v>1.1419999999999999</c:v>
                </c:pt>
                <c:pt idx="30">
                  <c:v>0.73099999999999998</c:v>
                </c:pt>
                <c:pt idx="31">
                  <c:v>0.58799999999999997</c:v>
                </c:pt>
                <c:pt idx="32">
                  <c:v>0.57599999999999996</c:v>
                </c:pt>
                <c:pt idx="33">
                  <c:v>0.70899999999999996</c:v>
                </c:pt>
                <c:pt idx="34">
                  <c:v>1.3220000000000001</c:v>
                </c:pt>
                <c:pt idx="35">
                  <c:v>1.2770000000000001</c:v>
                </c:pt>
                <c:pt idx="36">
                  <c:v>1.3420000000000001</c:v>
                </c:pt>
                <c:pt idx="37">
                  <c:v>1.2789999999999999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'Graf 5+6'!$H$19</c:f>
              <c:strCache>
                <c:ptCount val="1"/>
                <c:pt idx="0">
                  <c:v>Germany</c:v>
                </c:pt>
              </c:strCache>
            </c:strRef>
          </c:tx>
          <c:spPr>
            <a:ln w="19050">
              <a:solidFill>
                <a:srgbClr val="555555"/>
              </a:solidFill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5+6'!$I$3:$AT$3</c:f>
              <c:numCache>
                <c:formatCode>#\ ##0.0</c:formatCode>
                <c:ptCount val="38"/>
                <c:pt idx="0">
                  <c:v>1.659</c:v>
                </c:pt>
                <c:pt idx="1">
                  <c:v>1.6240000000000001</c:v>
                </c:pt>
                <c:pt idx="2">
                  <c:v>1.5659999999999998</c:v>
                </c:pt>
                <c:pt idx="3">
                  <c:v>1.4689999999999999</c:v>
                </c:pt>
                <c:pt idx="4">
                  <c:v>1.3580000000000001</c:v>
                </c:pt>
                <c:pt idx="5">
                  <c:v>1.2450000000000001</c:v>
                </c:pt>
                <c:pt idx="6">
                  <c:v>1.155</c:v>
                </c:pt>
                <c:pt idx="7">
                  <c:v>0.89</c:v>
                </c:pt>
                <c:pt idx="8">
                  <c:v>0.94699999999999995</c:v>
                </c:pt>
                <c:pt idx="9">
                  <c:v>0.84099999999999997</c:v>
                </c:pt>
                <c:pt idx="10">
                  <c:v>0.7</c:v>
                </c:pt>
                <c:pt idx="11">
                  <c:v>0.54100000000000004</c:v>
                </c:pt>
                <c:pt idx="12">
                  <c:v>0.30199999999999999</c:v>
                </c:pt>
                <c:pt idx="13">
                  <c:v>0.32800000000000001</c:v>
                </c:pt>
                <c:pt idx="14">
                  <c:v>0.18</c:v>
                </c:pt>
                <c:pt idx="15">
                  <c:v>0.36599999999999999</c:v>
                </c:pt>
                <c:pt idx="16">
                  <c:v>0.48699999999999999</c:v>
                </c:pt>
                <c:pt idx="17">
                  <c:v>0.76400000000000001</c:v>
                </c:pt>
                <c:pt idx="18">
                  <c:v>0.64400000000000002</c:v>
                </c:pt>
                <c:pt idx="19">
                  <c:v>0.79800000000000004</c:v>
                </c:pt>
                <c:pt idx="20">
                  <c:v>0.58699999999999997</c:v>
                </c:pt>
                <c:pt idx="21">
                  <c:v>0.51700000000000002</c:v>
                </c:pt>
                <c:pt idx="22">
                  <c:v>0.47299999999999998</c:v>
                </c:pt>
                <c:pt idx="23">
                  <c:v>0.629</c:v>
                </c:pt>
                <c:pt idx="24">
                  <c:v>0.32500000000000001</c:v>
                </c:pt>
                <c:pt idx="25">
                  <c:v>0.107</c:v>
                </c:pt>
                <c:pt idx="26">
                  <c:v>0.153</c:v>
                </c:pt>
                <c:pt idx="27">
                  <c:v>0.27100000000000002</c:v>
                </c:pt>
                <c:pt idx="28">
                  <c:v>0.13900000000000001</c:v>
                </c:pt>
                <c:pt idx="29">
                  <c:v>-0.13</c:v>
                </c:pt>
                <c:pt idx="30">
                  <c:v>-0.11899999999999999</c:v>
                </c:pt>
                <c:pt idx="31">
                  <c:v>-6.5000000000000002E-2</c:v>
                </c:pt>
                <c:pt idx="32">
                  <c:v>-0.11899999999999999</c:v>
                </c:pt>
                <c:pt idx="33">
                  <c:v>0.16300000000000001</c:v>
                </c:pt>
                <c:pt idx="34">
                  <c:v>0.27500000000000002</c:v>
                </c:pt>
                <c:pt idx="35">
                  <c:v>0.20799999999999999</c:v>
                </c:pt>
                <c:pt idx="36">
                  <c:v>0.436</c:v>
                </c:pt>
                <c:pt idx="37">
                  <c:v>0.20799999999999999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'Graf 5+6'!$H$22</c:f>
              <c:strCache>
                <c:ptCount val="1"/>
                <c:pt idx="0">
                  <c:v>Poland</c:v>
                </c:pt>
              </c:strCache>
            </c:strRef>
          </c:tx>
          <c:spPr>
            <a:ln w="19050">
              <a:solidFill>
                <a:srgbClr val="9E9E9E"/>
              </a:solidFill>
            </a:ln>
          </c:spPr>
          <c:marker>
            <c:symbol val="none"/>
          </c:marker>
          <c:cat>
            <c:numRef>
              <c:f>'Graf 5+6'!$I$1:$AT$1</c:f>
              <c:numCache>
                <c:formatCode>mmm\-yy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5+6'!$I$4:$AT$4</c:f>
              <c:numCache>
                <c:formatCode>#\ ##0.0</c:formatCode>
                <c:ptCount val="38"/>
                <c:pt idx="0">
                  <c:v>3.6589999999999998</c:v>
                </c:pt>
                <c:pt idx="1">
                  <c:v>3.5089999999999999</c:v>
                </c:pt>
                <c:pt idx="2">
                  <c:v>3.23</c:v>
                </c:pt>
                <c:pt idx="3">
                  <c:v>3.0150000000000001</c:v>
                </c:pt>
                <c:pt idx="4">
                  <c:v>2.8540000000000001</c:v>
                </c:pt>
                <c:pt idx="5">
                  <c:v>2.661</c:v>
                </c:pt>
                <c:pt idx="6">
                  <c:v>2.5049999999999999</c:v>
                </c:pt>
                <c:pt idx="7">
                  <c:v>2.2290000000000001</c:v>
                </c:pt>
                <c:pt idx="8">
                  <c:v>2.14</c:v>
                </c:pt>
                <c:pt idx="9">
                  <c:v>2.0760000000000001</c:v>
                </c:pt>
                <c:pt idx="10">
                  <c:v>1.895</c:v>
                </c:pt>
                <c:pt idx="11">
                  <c:v>1.611</c:v>
                </c:pt>
                <c:pt idx="12">
                  <c:v>1.423</c:v>
                </c:pt>
                <c:pt idx="13">
                  <c:v>1.26</c:v>
                </c:pt>
                <c:pt idx="14">
                  <c:v>1.212</c:v>
                </c:pt>
                <c:pt idx="15">
                  <c:v>1.468</c:v>
                </c:pt>
                <c:pt idx="16">
                  <c:v>1.8380000000000001</c:v>
                </c:pt>
                <c:pt idx="17">
                  <c:v>2.3010000000000002</c:v>
                </c:pt>
                <c:pt idx="18">
                  <c:v>1.8420000000000001</c:v>
                </c:pt>
                <c:pt idx="19">
                  <c:v>2.109</c:v>
                </c:pt>
                <c:pt idx="20">
                  <c:v>1.8919999999999999</c:v>
                </c:pt>
                <c:pt idx="21">
                  <c:v>1.6720000000000002</c:v>
                </c:pt>
                <c:pt idx="22">
                  <c:v>1.5209999999999999</c:v>
                </c:pt>
                <c:pt idx="23">
                  <c:v>1.7709999999999999</c:v>
                </c:pt>
                <c:pt idx="24">
                  <c:v>1.512</c:v>
                </c:pt>
                <c:pt idx="25">
                  <c:v>1.53</c:v>
                </c:pt>
                <c:pt idx="26">
                  <c:v>1.4370000000000001</c:v>
                </c:pt>
                <c:pt idx="27">
                  <c:v>1.593</c:v>
                </c:pt>
                <c:pt idx="28">
                  <c:v>1.4729999999999999</c:v>
                </c:pt>
                <c:pt idx="29">
                  <c:v>1.163</c:v>
                </c:pt>
                <c:pt idx="30">
                  <c:v>1.0189999999999999</c:v>
                </c:pt>
                <c:pt idx="31">
                  <c:v>1.0129999999999999</c:v>
                </c:pt>
                <c:pt idx="32">
                  <c:v>0.88</c:v>
                </c:pt>
                <c:pt idx="33">
                  <c:v>1.1990000000000001</c:v>
                </c:pt>
                <c:pt idx="34">
                  <c:v>1.5510000000000002</c:v>
                </c:pt>
                <c:pt idx="35">
                  <c:v>1.3839999999999999</c:v>
                </c:pt>
                <c:pt idx="36">
                  <c:v>1.5979999999999999</c:v>
                </c:pt>
                <c:pt idx="37">
                  <c:v>1.655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091880"/>
        <c:axId val="431109904"/>
        <c:extLst/>
      </c:lineChart>
      <c:dateAx>
        <c:axId val="617091880"/>
        <c:scaling>
          <c:orientation val="minMax"/>
        </c:scaling>
        <c:delete val="0"/>
        <c:axPos val="b"/>
        <c:numFmt formatCode="[$-41B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k-SK"/>
          </a:p>
        </c:txPr>
        <c:crossAx val="431109904"/>
        <c:crosses val="autoZero"/>
        <c:auto val="1"/>
        <c:lblOffset val="100"/>
        <c:baseTimeUnit val="months"/>
      </c:dateAx>
      <c:valAx>
        <c:axId val="431109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617091880"/>
        <c:crosses val="autoZero"/>
        <c:crossBetween val="between"/>
        <c:majorUnit val="1.5"/>
        <c:minorUnit val="1"/>
      </c:valAx>
    </c:plotArea>
    <c:legend>
      <c:legendPos val="r"/>
      <c:layout>
        <c:manualLayout>
          <c:xMode val="edge"/>
          <c:yMode val="edge"/>
          <c:x val="0.41473290384156519"/>
          <c:y val="0.115689688673746"/>
          <c:w val="0.5349409687425436"/>
          <c:h val="0.24631233595800525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8573928258989"/>
          <c:y val="6.0544254884806116E-2"/>
          <c:w val="0.87251137357830344"/>
          <c:h val="0.78209528237014658"/>
        </c:manualLayout>
      </c:layout>
      <c:lineChart>
        <c:grouping val="standard"/>
        <c:varyColors val="0"/>
        <c:ser>
          <c:idx val="0"/>
          <c:order val="0"/>
          <c:tx>
            <c:strRef>
              <c:f>'Graf 36 '!$O$1</c:f>
              <c:strCache>
                <c:ptCount val="1"/>
                <c:pt idx="0">
                  <c:v>Covered months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trendline>
            <c:name>12M kĺzavý priemer</c:name>
            <c:spPr>
              <a:ln w="19050" cmpd="sng">
                <a:solidFill>
                  <a:srgbClr val="2C9ADC"/>
                </a:solidFill>
                <a:prstDash val="solid"/>
              </a:ln>
            </c:spPr>
            <c:trendlineType val="movingAvg"/>
            <c:period val="12"/>
            <c:dispRSqr val="0"/>
            <c:dispEq val="0"/>
          </c:trendline>
          <c:cat>
            <c:numRef>
              <c:f>'Graf 36 '!$N$2:$N$181</c:f>
              <c:numCache>
                <c:formatCode>m/d/yyyy</c:formatCode>
                <c:ptCount val="180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38837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38990</c:v>
                </c:pt>
                <c:pt idx="9">
                  <c:v>39021</c:v>
                </c:pt>
                <c:pt idx="10">
                  <c:v>39051</c:v>
                </c:pt>
                <c:pt idx="11">
                  <c:v>39082</c:v>
                </c:pt>
                <c:pt idx="12">
                  <c:v>39113</c:v>
                </c:pt>
                <c:pt idx="13">
                  <c:v>39141</c:v>
                </c:pt>
                <c:pt idx="14">
                  <c:v>39172</c:v>
                </c:pt>
                <c:pt idx="15">
                  <c:v>39202</c:v>
                </c:pt>
                <c:pt idx="16">
                  <c:v>39233</c:v>
                </c:pt>
                <c:pt idx="17">
                  <c:v>39263</c:v>
                </c:pt>
                <c:pt idx="18">
                  <c:v>39294</c:v>
                </c:pt>
                <c:pt idx="19">
                  <c:v>39325</c:v>
                </c:pt>
                <c:pt idx="20">
                  <c:v>39355</c:v>
                </c:pt>
                <c:pt idx="21">
                  <c:v>39386</c:v>
                </c:pt>
                <c:pt idx="22">
                  <c:v>39416</c:v>
                </c:pt>
                <c:pt idx="23">
                  <c:v>39447</c:v>
                </c:pt>
                <c:pt idx="24">
                  <c:v>39478</c:v>
                </c:pt>
                <c:pt idx="25">
                  <c:v>39507</c:v>
                </c:pt>
                <c:pt idx="26">
                  <c:v>39538</c:v>
                </c:pt>
                <c:pt idx="27">
                  <c:v>39568</c:v>
                </c:pt>
                <c:pt idx="28">
                  <c:v>39599</c:v>
                </c:pt>
                <c:pt idx="29">
                  <c:v>39629</c:v>
                </c:pt>
                <c:pt idx="30">
                  <c:v>39660</c:v>
                </c:pt>
                <c:pt idx="31">
                  <c:v>39691</c:v>
                </c:pt>
                <c:pt idx="32">
                  <c:v>39721</c:v>
                </c:pt>
                <c:pt idx="33">
                  <c:v>39752</c:v>
                </c:pt>
                <c:pt idx="34">
                  <c:v>39782</c:v>
                </c:pt>
                <c:pt idx="35">
                  <c:v>39813</c:v>
                </c:pt>
                <c:pt idx="36">
                  <c:v>39844</c:v>
                </c:pt>
                <c:pt idx="37">
                  <c:v>39872</c:v>
                </c:pt>
                <c:pt idx="38">
                  <c:v>39903</c:v>
                </c:pt>
                <c:pt idx="39">
                  <c:v>39933</c:v>
                </c:pt>
                <c:pt idx="40">
                  <c:v>39964</c:v>
                </c:pt>
                <c:pt idx="41">
                  <c:v>39994</c:v>
                </c:pt>
                <c:pt idx="42">
                  <c:v>40025</c:v>
                </c:pt>
                <c:pt idx="43">
                  <c:v>40056</c:v>
                </c:pt>
                <c:pt idx="44">
                  <c:v>40086</c:v>
                </c:pt>
                <c:pt idx="45">
                  <c:v>40117</c:v>
                </c:pt>
                <c:pt idx="46">
                  <c:v>40147</c:v>
                </c:pt>
                <c:pt idx="47">
                  <c:v>40178</c:v>
                </c:pt>
                <c:pt idx="48">
                  <c:v>40209</c:v>
                </c:pt>
                <c:pt idx="49">
                  <c:v>40237</c:v>
                </c:pt>
                <c:pt idx="50">
                  <c:v>40268</c:v>
                </c:pt>
                <c:pt idx="51">
                  <c:v>40298</c:v>
                </c:pt>
                <c:pt idx="52">
                  <c:v>40329</c:v>
                </c:pt>
                <c:pt idx="53">
                  <c:v>40359</c:v>
                </c:pt>
                <c:pt idx="54">
                  <c:v>40390</c:v>
                </c:pt>
                <c:pt idx="55">
                  <c:v>40421</c:v>
                </c:pt>
                <c:pt idx="56">
                  <c:v>40451</c:v>
                </c:pt>
                <c:pt idx="57">
                  <c:v>40482</c:v>
                </c:pt>
                <c:pt idx="58">
                  <c:v>40512</c:v>
                </c:pt>
                <c:pt idx="59">
                  <c:v>40543</c:v>
                </c:pt>
                <c:pt idx="60">
                  <c:v>40574</c:v>
                </c:pt>
                <c:pt idx="61">
                  <c:v>40602</c:v>
                </c:pt>
                <c:pt idx="62">
                  <c:v>40633</c:v>
                </c:pt>
                <c:pt idx="63">
                  <c:v>40663</c:v>
                </c:pt>
                <c:pt idx="64">
                  <c:v>40694</c:v>
                </c:pt>
                <c:pt idx="65">
                  <c:v>40724</c:v>
                </c:pt>
                <c:pt idx="66">
                  <c:v>40755</c:v>
                </c:pt>
                <c:pt idx="67">
                  <c:v>40786</c:v>
                </c:pt>
                <c:pt idx="68">
                  <c:v>40816</c:v>
                </c:pt>
                <c:pt idx="69">
                  <c:v>40847</c:v>
                </c:pt>
                <c:pt idx="70">
                  <c:v>40877</c:v>
                </c:pt>
                <c:pt idx="71">
                  <c:v>40908</c:v>
                </c:pt>
                <c:pt idx="72">
                  <c:v>40939</c:v>
                </c:pt>
                <c:pt idx="73">
                  <c:v>40968</c:v>
                </c:pt>
                <c:pt idx="74">
                  <c:v>40999</c:v>
                </c:pt>
                <c:pt idx="75">
                  <c:v>41029</c:v>
                </c:pt>
                <c:pt idx="76">
                  <c:v>41060</c:v>
                </c:pt>
                <c:pt idx="77">
                  <c:v>41090</c:v>
                </c:pt>
                <c:pt idx="78">
                  <c:v>41121</c:v>
                </c:pt>
                <c:pt idx="79">
                  <c:v>41152</c:v>
                </c:pt>
                <c:pt idx="80">
                  <c:v>41182</c:v>
                </c:pt>
                <c:pt idx="81">
                  <c:v>41213</c:v>
                </c:pt>
                <c:pt idx="82">
                  <c:v>41243</c:v>
                </c:pt>
                <c:pt idx="83">
                  <c:v>41274</c:v>
                </c:pt>
                <c:pt idx="84">
                  <c:v>41305</c:v>
                </c:pt>
                <c:pt idx="85">
                  <c:v>41333</c:v>
                </c:pt>
                <c:pt idx="86">
                  <c:v>41364</c:v>
                </c:pt>
                <c:pt idx="87">
                  <c:v>41394</c:v>
                </c:pt>
                <c:pt idx="88">
                  <c:v>41425</c:v>
                </c:pt>
                <c:pt idx="89">
                  <c:v>41455</c:v>
                </c:pt>
                <c:pt idx="90">
                  <c:v>41486</c:v>
                </c:pt>
                <c:pt idx="91">
                  <c:v>41517</c:v>
                </c:pt>
                <c:pt idx="92">
                  <c:v>41547</c:v>
                </c:pt>
                <c:pt idx="93">
                  <c:v>41578</c:v>
                </c:pt>
                <c:pt idx="94">
                  <c:v>41608</c:v>
                </c:pt>
                <c:pt idx="95">
                  <c:v>41639</c:v>
                </c:pt>
                <c:pt idx="96">
                  <c:v>41670</c:v>
                </c:pt>
                <c:pt idx="97">
                  <c:v>41698</c:v>
                </c:pt>
                <c:pt idx="98">
                  <c:v>41729</c:v>
                </c:pt>
                <c:pt idx="99">
                  <c:v>41759</c:v>
                </c:pt>
                <c:pt idx="100">
                  <c:v>41790</c:v>
                </c:pt>
                <c:pt idx="101">
                  <c:v>41820</c:v>
                </c:pt>
                <c:pt idx="102">
                  <c:v>41851</c:v>
                </c:pt>
                <c:pt idx="103">
                  <c:v>41882</c:v>
                </c:pt>
                <c:pt idx="104">
                  <c:v>41912</c:v>
                </c:pt>
                <c:pt idx="105">
                  <c:v>41943</c:v>
                </c:pt>
                <c:pt idx="106">
                  <c:v>41973</c:v>
                </c:pt>
                <c:pt idx="107">
                  <c:v>42004</c:v>
                </c:pt>
                <c:pt idx="108">
                  <c:v>42035</c:v>
                </c:pt>
                <c:pt idx="109">
                  <c:v>42063</c:v>
                </c:pt>
                <c:pt idx="110">
                  <c:v>42094</c:v>
                </c:pt>
                <c:pt idx="111">
                  <c:v>42124</c:v>
                </c:pt>
                <c:pt idx="112">
                  <c:v>42155</c:v>
                </c:pt>
                <c:pt idx="113">
                  <c:v>42185</c:v>
                </c:pt>
                <c:pt idx="114">
                  <c:v>42216</c:v>
                </c:pt>
                <c:pt idx="115">
                  <c:v>42247</c:v>
                </c:pt>
                <c:pt idx="116">
                  <c:v>42277</c:v>
                </c:pt>
                <c:pt idx="117">
                  <c:v>42308</c:v>
                </c:pt>
                <c:pt idx="118">
                  <c:v>42338</c:v>
                </c:pt>
                <c:pt idx="119">
                  <c:v>42369</c:v>
                </c:pt>
                <c:pt idx="120">
                  <c:v>42400</c:v>
                </c:pt>
                <c:pt idx="121">
                  <c:v>42429</c:v>
                </c:pt>
                <c:pt idx="122">
                  <c:v>42460</c:v>
                </c:pt>
                <c:pt idx="123">
                  <c:v>42490</c:v>
                </c:pt>
                <c:pt idx="124">
                  <c:v>42521</c:v>
                </c:pt>
                <c:pt idx="125">
                  <c:v>42551</c:v>
                </c:pt>
                <c:pt idx="126">
                  <c:v>42582</c:v>
                </c:pt>
                <c:pt idx="127">
                  <c:v>42613</c:v>
                </c:pt>
                <c:pt idx="128">
                  <c:v>42643</c:v>
                </c:pt>
                <c:pt idx="129">
                  <c:v>42674</c:v>
                </c:pt>
                <c:pt idx="130">
                  <c:v>42704</c:v>
                </c:pt>
                <c:pt idx="131">
                  <c:v>42735</c:v>
                </c:pt>
                <c:pt idx="132">
                  <c:v>42766</c:v>
                </c:pt>
                <c:pt idx="133">
                  <c:v>42794</c:v>
                </c:pt>
                <c:pt idx="134">
                  <c:v>42825</c:v>
                </c:pt>
                <c:pt idx="135">
                  <c:v>42855</c:v>
                </c:pt>
                <c:pt idx="136">
                  <c:v>42886</c:v>
                </c:pt>
                <c:pt idx="137">
                  <c:v>42916</c:v>
                </c:pt>
                <c:pt idx="138">
                  <c:v>42947</c:v>
                </c:pt>
                <c:pt idx="139">
                  <c:v>42978</c:v>
                </c:pt>
                <c:pt idx="140">
                  <c:v>43008</c:v>
                </c:pt>
                <c:pt idx="141">
                  <c:v>43039</c:v>
                </c:pt>
                <c:pt idx="142">
                  <c:v>43069</c:v>
                </c:pt>
                <c:pt idx="143">
                  <c:v>43100</c:v>
                </c:pt>
                <c:pt idx="144">
                  <c:v>43131</c:v>
                </c:pt>
                <c:pt idx="145">
                  <c:v>43159</c:v>
                </c:pt>
                <c:pt idx="146">
                  <c:v>43190</c:v>
                </c:pt>
                <c:pt idx="147">
                  <c:v>43220</c:v>
                </c:pt>
                <c:pt idx="148">
                  <c:v>43251</c:v>
                </c:pt>
                <c:pt idx="149">
                  <c:v>43281</c:v>
                </c:pt>
                <c:pt idx="150">
                  <c:v>43312</c:v>
                </c:pt>
                <c:pt idx="151">
                  <c:v>43343</c:v>
                </c:pt>
                <c:pt idx="152">
                  <c:v>43373</c:v>
                </c:pt>
                <c:pt idx="153">
                  <c:v>43404</c:v>
                </c:pt>
                <c:pt idx="154">
                  <c:v>43434</c:v>
                </c:pt>
                <c:pt idx="155">
                  <c:v>43465</c:v>
                </c:pt>
                <c:pt idx="156">
                  <c:v>43496</c:v>
                </c:pt>
                <c:pt idx="157">
                  <c:v>43524</c:v>
                </c:pt>
                <c:pt idx="158">
                  <c:v>43555</c:v>
                </c:pt>
                <c:pt idx="159">
                  <c:v>43585</c:v>
                </c:pt>
                <c:pt idx="160">
                  <c:v>43616</c:v>
                </c:pt>
                <c:pt idx="161">
                  <c:v>43646</c:v>
                </c:pt>
                <c:pt idx="162">
                  <c:v>43677</c:v>
                </c:pt>
                <c:pt idx="163">
                  <c:v>43708</c:v>
                </c:pt>
                <c:pt idx="164">
                  <c:v>43738</c:v>
                </c:pt>
                <c:pt idx="165">
                  <c:v>43769</c:v>
                </c:pt>
                <c:pt idx="166">
                  <c:v>43799</c:v>
                </c:pt>
                <c:pt idx="167">
                  <c:v>43830</c:v>
                </c:pt>
                <c:pt idx="168">
                  <c:v>43861</c:v>
                </c:pt>
                <c:pt idx="169">
                  <c:v>43890</c:v>
                </c:pt>
                <c:pt idx="170">
                  <c:v>43921</c:v>
                </c:pt>
                <c:pt idx="171">
                  <c:v>43951</c:v>
                </c:pt>
                <c:pt idx="172">
                  <c:v>43982</c:v>
                </c:pt>
                <c:pt idx="173">
                  <c:v>44012</c:v>
                </c:pt>
                <c:pt idx="174">
                  <c:v>44043</c:v>
                </c:pt>
                <c:pt idx="175">
                  <c:v>44074</c:v>
                </c:pt>
                <c:pt idx="176">
                  <c:v>44104</c:v>
                </c:pt>
                <c:pt idx="177">
                  <c:v>44135</c:v>
                </c:pt>
                <c:pt idx="178">
                  <c:v>44165</c:v>
                </c:pt>
                <c:pt idx="179">
                  <c:v>44196</c:v>
                </c:pt>
              </c:numCache>
            </c:numRef>
          </c:cat>
          <c:val>
            <c:numRef>
              <c:f>'Graf 36 '!$O$2:$O$181</c:f>
              <c:numCache>
                <c:formatCode>#,##0</c:formatCode>
                <c:ptCount val="180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7</c:v>
                </c:pt>
                <c:pt idx="41">
                  <c:v>6</c:v>
                </c:pt>
                <c:pt idx="42">
                  <c:v>5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4</c:v>
                </c:pt>
                <c:pt idx="56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5</c:v>
                </c:pt>
                <c:pt idx="67">
                  <c:v>4</c:v>
                </c:pt>
                <c:pt idx="68">
                  <c:v>4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9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6</c:v>
                </c:pt>
                <c:pt idx="81">
                  <c:v>5</c:v>
                </c:pt>
                <c:pt idx="82">
                  <c:v>4</c:v>
                </c:pt>
                <c:pt idx="83">
                  <c:v>3</c:v>
                </c:pt>
                <c:pt idx="84">
                  <c:v>3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4</c:v>
                </c:pt>
                <c:pt idx="96">
                  <c:v>9</c:v>
                </c:pt>
                <c:pt idx="97">
                  <c:v>10</c:v>
                </c:pt>
                <c:pt idx="98">
                  <c:v>9</c:v>
                </c:pt>
                <c:pt idx="99">
                  <c:v>10</c:v>
                </c:pt>
                <c:pt idx="100">
                  <c:v>8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7</c:v>
                </c:pt>
                <c:pt idx="105">
                  <c:v>4</c:v>
                </c:pt>
                <c:pt idx="106">
                  <c:v>6</c:v>
                </c:pt>
                <c:pt idx="107">
                  <c:v>1</c:v>
                </c:pt>
                <c:pt idx="108">
                  <c:v>1</c:v>
                </c:pt>
                <c:pt idx="109">
                  <c:v>8</c:v>
                </c:pt>
                <c:pt idx="110">
                  <c:v>7</c:v>
                </c:pt>
                <c:pt idx="111">
                  <c:v>7</c:v>
                </c:pt>
                <c:pt idx="112">
                  <c:v>6</c:v>
                </c:pt>
                <c:pt idx="113">
                  <c:v>8</c:v>
                </c:pt>
                <c:pt idx="114">
                  <c:v>7</c:v>
                </c:pt>
                <c:pt idx="115">
                  <c:v>6</c:v>
                </c:pt>
                <c:pt idx="116">
                  <c:v>5</c:v>
                </c:pt>
                <c:pt idx="117">
                  <c:v>4</c:v>
                </c:pt>
                <c:pt idx="118">
                  <c:v>5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4</c:v>
                </c:pt>
                <c:pt idx="123">
                  <c:v>6</c:v>
                </c:pt>
                <c:pt idx="124">
                  <c:v>6</c:v>
                </c:pt>
                <c:pt idx="125">
                  <c:v>7</c:v>
                </c:pt>
                <c:pt idx="126">
                  <c:v>6</c:v>
                </c:pt>
                <c:pt idx="127" formatCode="General">
                  <c:v>5</c:v>
                </c:pt>
                <c:pt idx="128">
                  <c:v>3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2</c:v>
                </c:pt>
                <c:pt idx="133">
                  <c:v>3</c:v>
                </c:pt>
                <c:pt idx="134">
                  <c:v>8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6</c:v>
                </c:pt>
                <c:pt idx="139">
                  <c:v>5</c:v>
                </c:pt>
                <c:pt idx="140">
                  <c:v>6</c:v>
                </c:pt>
                <c:pt idx="141">
                  <c:v>7</c:v>
                </c:pt>
                <c:pt idx="142">
                  <c:v>12</c:v>
                </c:pt>
                <c:pt idx="143">
                  <c:v>11</c:v>
                </c:pt>
                <c:pt idx="144">
                  <c:v>9</c:v>
                </c:pt>
                <c:pt idx="145">
                  <c:v>9</c:v>
                </c:pt>
                <c:pt idx="146">
                  <c:v>7</c:v>
                </c:pt>
                <c:pt idx="147">
                  <c:v>6</c:v>
                </c:pt>
                <c:pt idx="148">
                  <c:v>5</c:v>
                </c:pt>
                <c:pt idx="149">
                  <c:v>6</c:v>
                </c:pt>
                <c:pt idx="150">
                  <c:v>6</c:v>
                </c:pt>
                <c:pt idx="151">
                  <c:v>4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9</c:v>
                </c:pt>
                <c:pt idx="156">
                  <c:v>8</c:v>
                </c:pt>
                <c:pt idx="157">
                  <c:v>8</c:v>
                </c:pt>
                <c:pt idx="158">
                  <c:v>9</c:v>
                </c:pt>
                <c:pt idx="159">
                  <c:v>9</c:v>
                </c:pt>
                <c:pt idx="160">
                  <c:v>10</c:v>
                </c:pt>
                <c:pt idx="161">
                  <c:v>9</c:v>
                </c:pt>
                <c:pt idx="162">
                  <c:v>8</c:v>
                </c:pt>
                <c:pt idx="163">
                  <c:v>7</c:v>
                </c:pt>
                <c:pt idx="164">
                  <c:v>6</c:v>
                </c:pt>
                <c:pt idx="165">
                  <c:v>7</c:v>
                </c:pt>
                <c:pt idx="166">
                  <c:v>5</c:v>
                </c:pt>
                <c:pt idx="167">
                  <c:v>4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13360"/>
        <c:axId val="539713752"/>
        <c:extLst/>
      </c:lineChart>
      <c:dateAx>
        <c:axId val="539713360"/>
        <c:scaling>
          <c:orientation val="minMax"/>
          <c:min val="39814"/>
        </c:scaling>
        <c:delete val="0"/>
        <c:axPos val="b"/>
        <c:numFmt formatCode="[$-41B]mmm\-yy;@" sourceLinked="0"/>
        <c:majorTickMark val="none"/>
        <c:minorTickMark val="none"/>
        <c:tickLblPos val="low"/>
        <c:crossAx val="539713752"/>
        <c:crosses val="autoZero"/>
        <c:auto val="0"/>
        <c:lblOffset val="100"/>
        <c:baseTimeUnit val="months"/>
        <c:majorUnit val="6"/>
        <c:majorTimeUnit val="months"/>
      </c:dateAx>
      <c:valAx>
        <c:axId val="539713752"/>
        <c:scaling>
          <c:orientation val="minMax"/>
          <c:max val="1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539713360"/>
        <c:crosses val="autoZero"/>
        <c:crossBetween val="between"/>
        <c:majorUnit val="2"/>
      </c:valAx>
      <c:spPr>
        <a:noFill/>
      </c:spPr>
    </c:plotArea>
    <c:legend>
      <c:legendPos val="t"/>
      <c:layout>
        <c:manualLayout>
          <c:xMode val="edge"/>
          <c:yMode val="edge"/>
          <c:x val="7.4999999999999997E-2"/>
          <c:y val="5.4120541205412057E-2"/>
          <c:w val="0.59276815398075244"/>
          <c:h val="7.7083999186448551E-2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37 + Tab 25'!$A$20</c:f>
              <c:strCache>
                <c:ptCount val="1"/>
                <c:pt idx="0">
                  <c:v>synth 2014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37 + Tab 25'!$B$19:$J$19</c:f>
              <c:strCache>
                <c:ptCount val="9"/>
                <c:pt idx="0">
                  <c:v>2y</c:v>
                </c:pt>
                <c:pt idx="1">
                  <c:v>3y</c:v>
                </c:pt>
                <c:pt idx="2">
                  <c:v>4y</c:v>
                </c:pt>
                <c:pt idx="3">
                  <c:v>5y</c:v>
                </c:pt>
                <c:pt idx="4">
                  <c:v>6y</c:v>
                </c:pt>
                <c:pt idx="5">
                  <c:v>7y</c:v>
                </c:pt>
                <c:pt idx="6">
                  <c:v>8y</c:v>
                </c:pt>
                <c:pt idx="7">
                  <c:v>9y</c:v>
                </c:pt>
                <c:pt idx="8">
                  <c:v>10y</c:v>
                </c:pt>
              </c:strCache>
            </c:strRef>
          </c:cat>
          <c:val>
            <c:numRef>
              <c:f>'Graf 37 + Tab 25'!$B$20:$J$20</c:f>
              <c:numCache>
                <c:formatCode>0.00</c:formatCode>
                <c:ptCount val="9"/>
                <c:pt idx="0">
                  <c:v>0.36121274942307696</c:v>
                </c:pt>
                <c:pt idx="1">
                  <c:v>0.30592354102564095</c:v>
                </c:pt>
                <c:pt idx="2">
                  <c:v>0.67528543278656683</c:v>
                </c:pt>
                <c:pt idx="3">
                  <c:v>0.82361490319230757</c:v>
                </c:pt>
                <c:pt idx="4">
                  <c:v>0.97805000973333323</c:v>
                </c:pt>
                <c:pt idx="5">
                  <c:v>1.132485116274359</c:v>
                </c:pt>
                <c:pt idx="6">
                  <c:v>1.2869202228153847</c:v>
                </c:pt>
                <c:pt idx="7">
                  <c:v>1.595790435897436</c:v>
                </c:pt>
                <c:pt idx="8">
                  <c:v>2.019641665384615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37 + Tab 25'!$A$21</c:f>
              <c:strCache>
                <c:ptCount val="1"/>
                <c:pt idx="0">
                  <c:v>synth 2015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37 + Tab 25'!$B$19:$J$19</c:f>
              <c:strCache>
                <c:ptCount val="9"/>
                <c:pt idx="0">
                  <c:v>2y</c:v>
                </c:pt>
                <c:pt idx="1">
                  <c:v>3y</c:v>
                </c:pt>
                <c:pt idx="2">
                  <c:v>4y</c:v>
                </c:pt>
                <c:pt idx="3">
                  <c:v>5y</c:v>
                </c:pt>
                <c:pt idx="4">
                  <c:v>6y</c:v>
                </c:pt>
                <c:pt idx="5">
                  <c:v>7y</c:v>
                </c:pt>
                <c:pt idx="6">
                  <c:v>8y</c:v>
                </c:pt>
                <c:pt idx="7">
                  <c:v>9y</c:v>
                </c:pt>
                <c:pt idx="8">
                  <c:v>10y</c:v>
                </c:pt>
              </c:strCache>
            </c:strRef>
          </c:cat>
          <c:val>
            <c:numRef>
              <c:f>'Graf 37 + Tab 25'!$B$21:$J$21</c:f>
              <c:numCache>
                <c:formatCode>0.00</c:formatCode>
                <c:ptCount val="9"/>
                <c:pt idx="0">
                  <c:v>-0.1737013780769231</c:v>
                </c:pt>
                <c:pt idx="1">
                  <c:v>-0.37309910192307694</c:v>
                </c:pt>
                <c:pt idx="2">
                  <c:v>0.1375422969220918</c:v>
                </c:pt>
                <c:pt idx="3">
                  <c:v>0.1703570353461539</c:v>
                </c:pt>
                <c:pt idx="4">
                  <c:v>0.34406908712307693</c:v>
                </c:pt>
                <c:pt idx="5">
                  <c:v>0.51778113889999999</c:v>
                </c:pt>
                <c:pt idx="6">
                  <c:v>0.69149319067692305</c:v>
                </c:pt>
                <c:pt idx="7">
                  <c:v>1.038917294230769</c:v>
                </c:pt>
                <c:pt idx="8">
                  <c:v>1.2083915711538462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37 + Tab 25'!$A$22</c:f>
              <c:strCache>
                <c:ptCount val="1"/>
                <c:pt idx="0">
                  <c:v>synth 2016</c:v>
                </c:pt>
              </c:strCache>
            </c:strRef>
          </c:tx>
          <c:spPr>
            <a:ln w="19050" cap="rnd">
              <a:solidFill>
                <a:srgbClr val="2C9BDC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37 + Tab 25'!$B$19:$J$19</c:f>
              <c:strCache>
                <c:ptCount val="9"/>
                <c:pt idx="0">
                  <c:v>2y</c:v>
                </c:pt>
                <c:pt idx="1">
                  <c:v>3y</c:v>
                </c:pt>
                <c:pt idx="2">
                  <c:v>4y</c:v>
                </c:pt>
                <c:pt idx="3">
                  <c:v>5y</c:v>
                </c:pt>
                <c:pt idx="4">
                  <c:v>6y</c:v>
                </c:pt>
                <c:pt idx="5">
                  <c:v>7y</c:v>
                </c:pt>
                <c:pt idx="6">
                  <c:v>8y</c:v>
                </c:pt>
                <c:pt idx="7">
                  <c:v>9y</c:v>
                </c:pt>
                <c:pt idx="8">
                  <c:v>10y</c:v>
                </c:pt>
              </c:strCache>
            </c:strRef>
          </c:cat>
          <c:val>
            <c:numRef>
              <c:f>'Graf 37 + Tab 25'!$B$22:$J$22</c:f>
              <c:numCache>
                <c:formatCode>0.00</c:formatCode>
                <c:ptCount val="9"/>
                <c:pt idx="0">
                  <c:v>-0.41297861735849045</c:v>
                </c:pt>
                <c:pt idx="1">
                  <c:v>-0.53001162264150947</c:v>
                </c:pt>
                <c:pt idx="2">
                  <c:v>-0.13489783746981129</c:v>
                </c:pt>
                <c:pt idx="3">
                  <c:v>-8.6190662452830191E-2</c:v>
                </c:pt>
                <c:pt idx="4">
                  <c:v>0.10463336796226413</c:v>
                </c:pt>
                <c:pt idx="5">
                  <c:v>0.29545739837735846</c:v>
                </c:pt>
                <c:pt idx="6">
                  <c:v>0.48628142879245279</c:v>
                </c:pt>
                <c:pt idx="7">
                  <c:v>0.86792948962264149</c:v>
                </c:pt>
                <c:pt idx="8">
                  <c:v>0.95917098867924522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37 + Tab 25'!$A$23</c:f>
              <c:strCache>
                <c:ptCount val="1"/>
                <c:pt idx="0">
                  <c:v>actual 2014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37 + Tab 25'!$B$19:$J$19</c:f>
              <c:strCache>
                <c:ptCount val="9"/>
                <c:pt idx="0">
                  <c:v>2y</c:v>
                </c:pt>
                <c:pt idx="1">
                  <c:v>3y</c:v>
                </c:pt>
                <c:pt idx="2">
                  <c:v>4y</c:v>
                </c:pt>
                <c:pt idx="3">
                  <c:v>5y</c:v>
                </c:pt>
                <c:pt idx="4">
                  <c:v>6y</c:v>
                </c:pt>
                <c:pt idx="5">
                  <c:v>7y</c:v>
                </c:pt>
                <c:pt idx="6">
                  <c:v>8y</c:v>
                </c:pt>
                <c:pt idx="7">
                  <c:v>9y</c:v>
                </c:pt>
                <c:pt idx="8">
                  <c:v>10y</c:v>
                </c:pt>
              </c:strCache>
            </c:strRef>
          </c:cat>
          <c:val>
            <c:numRef>
              <c:f>'Graf 37 + Tab 25'!$B$23:$J$23</c:f>
              <c:numCache>
                <c:formatCode>0.00</c:formatCode>
                <c:ptCount val="9"/>
                <c:pt idx="0">
                  <c:v>0.28709043797320483</c:v>
                </c:pt>
                <c:pt idx="1">
                  <c:v>0.25410256410256399</c:v>
                </c:pt>
                <c:pt idx="2">
                  <c:v>0.5805769230769231</c:v>
                </c:pt>
                <c:pt idx="3">
                  <c:v>0.76196153846153869</c:v>
                </c:pt>
                <c:pt idx="4">
                  <c:v>0.90682051282051301</c:v>
                </c:pt>
                <c:pt idx="5">
                  <c:v>1.0516794871794872</c:v>
                </c:pt>
                <c:pt idx="6">
                  <c:v>1.1965384615384616</c:v>
                </c:pt>
                <c:pt idx="7">
                  <c:v>1.4862564102564102</c:v>
                </c:pt>
                <c:pt idx="8">
                  <c:v>1.9292499999999999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 37 + Tab 25'!$A$24</c:f>
              <c:strCache>
                <c:ptCount val="1"/>
                <c:pt idx="0">
                  <c:v>actual 2015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37 + Tab 25'!$B$19:$J$19</c:f>
              <c:strCache>
                <c:ptCount val="9"/>
                <c:pt idx="0">
                  <c:v>2y</c:v>
                </c:pt>
                <c:pt idx="1">
                  <c:v>3y</c:v>
                </c:pt>
                <c:pt idx="2">
                  <c:v>4y</c:v>
                </c:pt>
                <c:pt idx="3">
                  <c:v>5y</c:v>
                </c:pt>
                <c:pt idx="4">
                  <c:v>6y</c:v>
                </c:pt>
                <c:pt idx="5">
                  <c:v>7y</c:v>
                </c:pt>
                <c:pt idx="6">
                  <c:v>8y</c:v>
                </c:pt>
                <c:pt idx="7">
                  <c:v>9y</c:v>
                </c:pt>
                <c:pt idx="8">
                  <c:v>10y</c:v>
                </c:pt>
              </c:strCache>
            </c:strRef>
          </c:cat>
          <c:val>
            <c:numRef>
              <c:f>'Graf 37 + Tab 25'!$B$24:$J$24</c:f>
              <c:numCache>
                <c:formatCode>0.00</c:formatCode>
                <c:ptCount val="9"/>
                <c:pt idx="0">
                  <c:v>-3.3461538461538468E-3</c:v>
                </c:pt>
                <c:pt idx="1">
                  <c:v>9.8461538461538465E-3</c:v>
                </c:pt>
                <c:pt idx="2">
                  <c:v>6.0634615384615377E-2</c:v>
                </c:pt>
                <c:pt idx="3">
                  <c:v>0.14878846153846154</c:v>
                </c:pt>
                <c:pt idx="4">
                  <c:v>0.25997307692307697</c:v>
                </c:pt>
                <c:pt idx="5">
                  <c:v>0.37115769230769241</c:v>
                </c:pt>
                <c:pt idx="6">
                  <c:v>0.48234230769230785</c:v>
                </c:pt>
                <c:pt idx="7">
                  <c:v>0.70471153846153867</c:v>
                </c:pt>
                <c:pt idx="8">
                  <c:v>0.80849999999999989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 37 + Tab 25'!$A$25</c:f>
              <c:strCache>
                <c:ptCount val="1"/>
                <c:pt idx="0">
                  <c:v>actual 2016</c:v>
                </c:pt>
              </c:strCache>
            </c:strRef>
          </c:tx>
          <c:spPr>
            <a:ln w="19050" cap="rnd">
              <a:solidFill>
                <a:srgbClr val="2C9BDC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37 + Tab 25'!$B$19:$J$19</c:f>
              <c:strCache>
                <c:ptCount val="9"/>
                <c:pt idx="0">
                  <c:v>2y</c:v>
                </c:pt>
                <c:pt idx="1">
                  <c:v>3y</c:v>
                </c:pt>
                <c:pt idx="2">
                  <c:v>4y</c:v>
                </c:pt>
                <c:pt idx="3">
                  <c:v>5y</c:v>
                </c:pt>
                <c:pt idx="4">
                  <c:v>6y</c:v>
                </c:pt>
                <c:pt idx="5">
                  <c:v>7y</c:v>
                </c:pt>
                <c:pt idx="6">
                  <c:v>8y</c:v>
                </c:pt>
                <c:pt idx="7">
                  <c:v>9y</c:v>
                </c:pt>
                <c:pt idx="8">
                  <c:v>10y</c:v>
                </c:pt>
              </c:strCache>
            </c:strRef>
          </c:cat>
          <c:val>
            <c:numRef>
              <c:f>'Graf 37 + Tab 25'!$B$25:$J$25</c:f>
              <c:numCache>
                <c:formatCode>0.00</c:formatCode>
                <c:ptCount val="9"/>
                <c:pt idx="0">
                  <c:v>-0.26203773584905665</c:v>
                </c:pt>
                <c:pt idx="1">
                  <c:v>-0.27516981132075469</c:v>
                </c:pt>
                <c:pt idx="2">
                  <c:v>-0.29533962264150937</c:v>
                </c:pt>
                <c:pt idx="3">
                  <c:v>-0.24794339622641509</c:v>
                </c:pt>
                <c:pt idx="4">
                  <c:v>-0.14860377358490565</c:v>
                </c:pt>
                <c:pt idx="5">
                  <c:v>-4.9264150943396201E-2</c:v>
                </c:pt>
                <c:pt idx="6">
                  <c:v>0.255</c:v>
                </c:pt>
                <c:pt idx="7">
                  <c:v>0.24875471698113213</c:v>
                </c:pt>
                <c:pt idx="8">
                  <c:v>0.55245283018867919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14536"/>
        <c:axId val="539714928"/>
      </c:lineChart>
      <c:catAx>
        <c:axId val="53971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39714928"/>
        <c:crosses val="autoZero"/>
        <c:auto val="1"/>
        <c:lblAlgn val="ctr"/>
        <c:lblOffset val="100"/>
        <c:noMultiLvlLbl val="0"/>
      </c:catAx>
      <c:valAx>
        <c:axId val="53971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39714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003975290719931E-2"/>
          <c:y val="0.17129629629629628"/>
          <c:w val="0.38614050723239524"/>
          <c:h val="0.29670421405657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1"/>
          <c:tx>
            <c:strRef>
              <c:f>'Graf 38 + 39'!$B$9</c:f>
              <c:strCache>
                <c:ptCount val="1"/>
                <c:pt idx="0">
                  <c:v>Vysoké riziko/ High risk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'Graf 38 + 39'!$C$5:$I$5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+ 39'!$C$9:$I$9</c:f>
              <c:numCache>
                <c:formatCode>0.0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</c:ser>
        <c:ser>
          <c:idx val="2"/>
          <c:order val="2"/>
          <c:tx>
            <c:strRef>
              <c:f>'Graf 38 + 39'!$B$8</c:f>
              <c:strCache>
                <c:ptCount val="1"/>
                <c:pt idx="0">
                  <c:v>Stredné riziko/ Medium risk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f>'Graf 38 + 39'!$C$5:$I$5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+ 39'!$C$8:$I$8</c:f>
              <c:numCache>
                <c:formatCode>0.0</c:formatCode>
                <c:ptCount val="7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</c:ser>
        <c:ser>
          <c:idx val="1"/>
          <c:order val="3"/>
          <c:tx>
            <c:strRef>
              <c:f>'Graf 38 + 39'!$B$7</c:f>
              <c:strCache>
                <c:ptCount val="1"/>
                <c:pt idx="0">
                  <c:v>Nízke riziko/ Low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'Graf 38 + 39'!$C$5:$I$5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+ 39'!$C$7:$I$7</c:f>
              <c:numCache>
                <c:formatCode>0.0</c:formatCode>
                <c:ptCount val="7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  <c:pt idx="5">
                  <c:v>-4</c:v>
                </c:pt>
                <c:pt idx="6">
                  <c:v>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715712"/>
        <c:axId val="539716104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38 + 39'!$B$6</c:f>
              <c:strCache>
                <c:ptCount val="1"/>
                <c:pt idx="0">
                  <c:v>S1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38 + 39'!$C$5:$I$5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+ 39'!$C$6:$I$6</c:f>
              <c:numCache>
                <c:formatCode>0.0</c:formatCode>
                <c:ptCount val="7"/>
                <c:pt idx="1">
                  <c:v>1.3</c:v>
                </c:pt>
                <c:pt idx="2">
                  <c:v>5.7</c:v>
                </c:pt>
                <c:pt idx="3">
                  <c:v>2.2000000000000002</c:v>
                </c:pt>
                <c:pt idx="4">
                  <c:v>-0.7</c:v>
                </c:pt>
                <c:pt idx="5">
                  <c:v>-2.1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39715712"/>
        <c:axId val="539716104"/>
      </c:barChart>
      <c:lineChart>
        <c:grouping val="standard"/>
        <c:varyColors val="0"/>
        <c:ser>
          <c:idx val="4"/>
          <c:order val="4"/>
          <c:tx>
            <c:strRef>
              <c:f>'Graf 38 + 39'!$B$10</c:f>
              <c:strCache>
                <c:ptCount val="1"/>
                <c:pt idx="0">
                  <c:v>Hranica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 38 + 39'!$C$5:$I$5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+ 39'!$C$10:$I$10</c:f>
              <c:numCache>
                <c:formatCode>0.0</c:formatCode>
                <c:ptCount val="7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715712"/>
        <c:axId val="539716104"/>
      </c:lineChart>
      <c:catAx>
        <c:axId val="53971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39716104"/>
        <c:crosses val="autoZero"/>
        <c:auto val="1"/>
        <c:lblAlgn val="ctr"/>
        <c:lblOffset val="100"/>
        <c:noMultiLvlLbl val="0"/>
      </c:catAx>
      <c:valAx>
        <c:axId val="539716104"/>
        <c:scaling>
          <c:orientation val="minMax"/>
          <c:max val="6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3971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1"/>
          <c:tx>
            <c:strRef>
              <c:f>'Graf 38 + 39'!$B$31</c:f>
              <c:strCache>
                <c:ptCount val="1"/>
                <c:pt idx="0">
                  <c:v>Vysoké riziko/ High risk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cat>
            <c:numRef>
              <c:f>'Graf 38 + 39'!$C$27:$I$27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+ 39'!$C$31:$I$31</c:f>
              <c:numCache>
                <c:formatCode>0.0</c:formatCode>
                <c:ptCount val="7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</c:ser>
        <c:ser>
          <c:idx val="2"/>
          <c:order val="2"/>
          <c:tx>
            <c:strRef>
              <c:f>'Graf 38 + 39'!$B$30</c:f>
              <c:strCache>
                <c:ptCount val="1"/>
                <c:pt idx="0">
                  <c:v>Stredné riziko/ Medium risk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f>'Graf 38 + 39'!$C$27:$I$27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+ 39'!$C$30:$I$30</c:f>
              <c:numCache>
                <c:formatCode>0.0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</c:ser>
        <c:ser>
          <c:idx val="1"/>
          <c:order val="3"/>
          <c:tx>
            <c:strRef>
              <c:f>'Graf 38 + 39'!$B$29</c:f>
              <c:strCache>
                <c:ptCount val="1"/>
                <c:pt idx="0">
                  <c:v>Nízke riziko/ Low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'Graf 38 + 39'!$C$27:$I$27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+ 39'!$C$29:$I$29</c:f>
              <c:numCache>
                <c:formatCode>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716888"/>
        <c:axId val="540541432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38 + 39'!$B$28</c:f>
              <c:strCache>
                <c:ptCount val="1"/>
                <c:pt idx="0">
                  <c:v>S2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38 + 39'!$C$27:$I$27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+ 39'!$C$28:$I$28</c:f>
              <c:numCache>
                <c:formatCode>0.0</c:formatCode>
                <c:ptCount val="7"/>
                <c:pt idx="1">
                  <c:v>3</c:v>
                </c:pt>
                <c:pt idx="2">
                  <c:v>7.4</c:v>
                </c:pt>
                <c:pt idx="3">
                  <c:v>6.9</c:v>
                </c:pt>
                <c:pt idx="4">
                  <c:v>3.5</c:v>
                </c:pt>
                <c:pt idx="5">
                  <c:v>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39716888"/>
        <c:axId val="540541432"/>
      </c:barChart>
      <c:lineChart>
        <c:grouping val="standard"/>
        <c:varyColors val="0"/>
        <c:ser>
          <c:idx val="4"/>
          <c:order val="4"/>
          <c:tx>
            <c:strRef>
              <c:f>'Graf 38 + 39'!$B$32</c:f>
              <c:strCache>
                <c:ptCount val="1"/>
                <c:pt idx="0">
                  <c:v>Borders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 38 + 39'!$C$27:$I$27</c:f>
              <c:numCache>
                <c:formatCode>General</c:formatCode>
                <c:ptCount val="7"/>
                <c:pt idx="1">
                  <c:v>2006</c:v>
                </c:pt>
                <c:pt idx="2">
                  <c:v>2009</c:v>
                </c:pt>
                <c:pt idx="3">
                  <c:v>2012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 38 + 39'!$C$32:$I$32</c:f>
              <c:numCache>
                <c:formatCode>0.0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716888"/>
        <c:axId val="540541432"/>
      </c:lineChart>
      <c:catAx>
        <c:axId val="53971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0541432"/>
        <c:crosses val="autoZero"/>
        <c:auto val="1"/>
        <c:lblAlgn val="ctr"/>
        <c:lblOffset val="100"/>
        <c:noMultiLvlLbl val="0"/>
      </c:catAx>
      <c:valAx>
        <c:axId val="540541432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39716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85460979803309145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40'!$B$3</c:f>
              <c:strCache>
                <c:ptCount val="1"/>
                <c:pt idx="0">
                  <c:v>Index závislosti, pôvodne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40'!$C$2:$J$2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2030</c:v>
                </c:pt>
                <c:pt idx="5">
                  <c:v>2040</c:v>
                </c:pt>
                <c:pt idx="6">
                  <c:v>2050</c:v>
                </c:pt>
                <c:pt idx="7">
                  <c:v>2060</c:v>
                </c:pt>
              </c:numCache>
            </c:numRef>
          </c:cat>
          <c:val>
            <c:numRef>
              <c:f>'Graf 40'!$C$3:$J$3</c:f>
              <c:numCache>
                <c:formatCode>0.0</c:formatCode>
                <c:ptCount val="8"/>
                <c:pt idx="0">
                  <c:v>16</c:v>
                </c:pt>
                <c:pt idx="1">
                  <c:v>16.600000000000001</c:v>
                </c:pt>
                <c:pt idx="2">
                  <c:v>17.3</c:v>
                </c:pt>
                <c:pt idx="3">
                  <c:v>24.3</c:v>
                </c:pt>
                <c:pt idx="4">
                  <c:v>32.6</c:v>
                </c:pt>
                <c:pt idx="5">
                  <c:v>39.97</c:v>
                </c:pt>
                <c:pt idx="6">
                  <c:v>54.17</c:v>
                </c:pt>
                <c:pt idx="7">
                  <c:v>65.89</c:v>
                </c:pt>
              </c:numCache>
            </c:numRef>
          </c:val>
        </c:ser>
        <c:ser>
          <c:idx val="2"/>
          <c:order val="1"/>
          <c:tx>
            <c:strRef>
              <c:f>'Graf 40'!$B$4</c:f>
              <c:strCache>
                <c:ptCount val="1"/>
                <c:pt idx="0">
                  <c:v>Index závislosti, aktualizácia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40'!$C$2:$J$2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2030</c:v>
                </c:pt>
                <c:pt idx="5">
                  <c:v>2040</c:v>
                </c:pt>
                <c:pt idx="6">
                  <c:v>2050</c:v>
                </c:pt>
                <c:pt idx="7">
                  <c:v>2060</c:v>
                </c:pt>
              </c:numCache>
            </c:numRef>
          </c:cat>
          <c:val>
            <c:numRef>
              <c:f>'Graf 40'!$C$4:$J$4</c:f>
              <c:numCache>
                <c:formatCode>0.0</c:formatCode>
                <c:ptCount val="8"/>
                <c:pt idx="0">
                  <c:v>16</c:v>
                </c:pt>
                <c:pt idx="1">
                  <c:v>16.600000000000001</c:v>
                </c:pt>
                <c:pt idx="2">
                  <c:v>17.3</c:v>
                </c:pt>
                <c:pt idx="3">
                  <c:v>24.4</c:v>
                </c:pt>
                <c:pt idx="4">
                  <c:v>32.6</c:v>
                </c:pt>
                <c:pt idx="5">
                  <c:v>39.1</c:v>
                </c:pt>
                <c:pt idx="6">
                  <c:v>50.9</c:v>
                </c:pt>
                <c:pt idx="7">
                  <c:v>59.4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542216"/>
        <c:axId val="540542608"/>
      </c:barChart>
      <c:lineChart>
        <c:grouping val="standard"/>
        <c:varyColors val="0"/>
        <c:ser>
          <c:idx val="1"/>
          <c:order val="2"/>
          <c:tx>
            <c:strRef>
              <c:f>'Graf 40'!$B$5</c:f>
              <c:strCache>
                <c:ptCount val="1"/>
                <c:pt idx="0">
                  <c:v>Počet obyvateľov, pôvodne (pravá os)</c:v>
                </c:pt>
              </c:strCache>
            </c:strRef>
          </c:tx>
          <c:marker>
            <c:symbol val="none"/>
          </c:marker>
          <c:val>
            <c:numRef>
              <c:f>'Graf 40'!$C$5:$J$5</c:f>
              <c:numCache>
                <c:formatCode>_-* #\ ##0\ _€_-;\-* #\ ##0\ _€_-;_-* "-"??\ _€_-;_-@_-</c:formatCode>
                <c:ptCount val="8"/>
                <c:pt idx="0">
                  <c:v>5287663</c:v>
                </c:pt>
                <c:pt idx="1">
                  <c:v>5398657</c:v>
                </c:pt>
                <c:pt idx="2">
                  <c:v>5390410</c:v>
                </c:pt>
                <c:pt idx="3">
                  <c:v>5414527</c:v>
                </c:pt>
                <c:pt idx="4">
                  <c:v>5314025</c:v>
                </c:pt>
                <c:pt idx="5">
                  <c:v>5111991</c:v>
                </c:pt>
                <c:pt idx="6">
                  <c:v>4869970</c:v>
                </c:pt>
                <c:pt idx="7">
                  <c:v>4574335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40'!$B$6</c:f>
              <c:strCache>
                <c:ptCount val="1"/>
                <c:pt idx="0">
                  <c:v>Počet obyvateľov, aktualizácia (pravá os)</c:v>
                </c:pt>
              </c:strCache>
            </c:strRef>
          </c:tx>
          <c:marker>
            <c:symbol val="none"/>
          </c:marker>
          <c:val>
            <c:numRef>
              <c:f>'Graf 40'!$C$6:$J$6</c:f>
              <c:numCache>
                <c:formatCode>_-* #\ ##0\ _€_-;\-* #\ ##0\ _€_-;_-* "-"??\ _€_-;_-@_-</c:formatCode>
                <c:ptCount val="8"/>
                <c:pt idx="0">
                  <c:v>5287663</c:v>
                </c:pt>
                <c:pt idx="1">
                  <c:v>5398657</c:v>
                </c:pt>
                <c:pt idx="2">
                  <c:v>5390410</c:v>
                </c:pt>
                <c:pt idx="3">
                  <c:v>5458718</c:v>
                </c:pt>
                <c:pt idx="4">
                  <c:v>5464199</c:v>
                </c:pt>
                <c:pt idx="5">
                  <c:v>5373043</c:v>
                </c:pt>
                <c:pt idx="6">
                  <c:v>5261609</c:v>
                </c:pt>
                <c:pt idx="7">
                  <c:v>5114570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543000"/>
        <c:axId val="540543392"/>
      </c:lineChart>
      <c:catAx>
        <c:axId val="540542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40542608"/>
        <c:crosses val="autoZero"/>
        <c:auto val="1"/>
        <c:lblAlgn val="ctr"/>
        <c:lblOffset val="100"/>
        <c:noMultiLvlLbl val="0"/>
      </c:catAx>
      <c:valAx>
        <c:axId val="540542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540542216"/>
        <c:crosses val="autoZero"/>
        <c:crossBetween val="between"/>
      </c:valAx>
      <c:catAx>
        <c:axId val="540543000"/>
        <c:scaling>
          <c:orientation val="minMax"/>
        </c:scaling>
        <c:delete val="1"/>
        <c:axPos val="b"/>
        <c:majorTickMark val="out"/>
        <c:minorTickMark val="none"/>
        <c:tickLblPos val="nextTo"/>
        <c:crossAx val="540543392"/>
        <c:crosses val="autoZero"/>
        <c:auto val="1"/>
        <c:lblAlgn val="ctr"/>
        <c:lblOffset val="100"/>
        <c:noMultiLvlLbl val="0"/>
      </c:catAx>
      <c:valAx>
        <c:axId val="540543392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crossAx val="540543000"/>
        <c:crosses val="max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8.5240158966539151E-2"/>
          <c:y val="0.25166001591430032"/>
          <c:w val="0.41891279728199327"/>
          <c:h val="0.375581050106293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8399763314225E-2"/>
          <c:y val="0.13035570462956356"/>
          <c:w val="0.89462376271266186"/>
          <c:h val="0.63802094059355474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'Graf 41'!$B$6</c:f>
              <c:strCache>
                <c:ptCount val="1"/>
                <c:pt idx="0">
                  <c:v>Výdavky 2017 - bez úspor / Expenditures 2017 - no savings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232819282541668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232819282541668E-3"/>
                  <c:y val="-1.5918631975329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179491327099738E-3"/>
                  <c:y val="-3.97965799383247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41'!$C$3:$E$3</c:f>
              <c:strCache>
                <c:ptCount val="3"/>
                <c:pt idx="0">
                  <c:v>Zdravotníctvo 2017 / Healthcare 2017</c:v>
                </c:pt>
                <c:pt idx="1">
                  <c:v>Informačné technológie 2017 / IT 2017</c:v>
                </c:pt>
                <c:pt idx="2">
                  <c:v>Doprava - opravy, údržba, prevádzka 2017 / Transport (+ related) 2017</c:v>
                </c:pt>
              </c:strCache>
            </c:strRef>
          </c:cat>
          <c:val>
            <c:numRef>
              <c:f>'Graf 41'!$C$6:$E$6</c:f>
              <c:numCache>
                <c:formatCode>#\ ##0.0</c:formatCode>
                <c:ptCount val="3"/>
                <c:pt idx="0">
                  <c:v>4080</c:v>
                </c:pt>
                <c:pt idx="1">
                  <c:v>410</c:v>
                </c:pt>
                <c:pt idx="2">
                  <c:v>967.5</c:v>
                </c:pt>
              </c:numCache>
            </c:numRef>
          </c:val>
        </c:ser>
        <c:ser>
          <c:idx val="1"/>
          <c:order val="1"/>
          <c:tx>
            <c:strRef>
              <c:f>'Graf 41'!$B$5</c:f>
              <c:strCache>
                <c:ptCount val="1"/>
                <c:pt idx="0">
                  <c:v>Úspory zahrnuté v rozpočte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232819282541668E-3"/>
                  <c:y val="0"/>
                </c:manualLayout>
              </c:layout>
              <c:tx>
                <c:rich>
                  <a:bodyPr/>
                  <a:lstStyle/>
                  <a:p>
                    <a:fld id="{5E300023-44A5-4C4D-A354-BA100F14762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0D6EA0-D898-4256-ADBE-5376C125D272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32819282541668E-3"/>
                  <c:y val="1.8325855023252798E-2"/>
                </c:manualLayout>
              </c:layout>
              <c:tx>
                <c:rich>
                  <a:bodyPr/>
                  <a:lstStyle/>
                  <a:p>
                    <a:fld id="{BA82EB85-F4A9-43D3-AE96-B8AD6D25B643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41'!$C$3:$E$3</c:f>
              <c:strCache>
                <c:ptCount val="3"/>
                <c:pt idx="0">
                  <c:v>Zdravotníctvo 2017 / Healthcare 2017</c:v>
                </c:pt>
                <c:pt idx="1">
                  <c:v>Informačné technológie 2017 / IT 2017</c:v>
                </c:pt>
                <c:pt idx="2">
                  <c:v>Doprava - opravy, údržba, prevádzka 2017 / Transport (+ related) 2017</c:v>
                </c:pt>
              </c:strCache>
            </c:strRef>
          </c:cat>
          <c:val>
            <c:numRef>
              <c:f>'Graf 41'!$C$5:$E$5</c:f>
              <c:numCache>
                <c:formatCode>#\ ##0.0</c:formatCode>
                <c:ptCount val="3"/>
                <c:pt idx="0">
                  <c:v>174</c:v>
                </c:pt>
                <c:pt idx="1">
                  <c:v>0</c:v>
                </c:pt>
                <c:pt idx="2">
                  <c:v>0.5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41'!$C$13:$E$13</c15:f>
                <c15:dlblRangeCache>
                  <c:ptCount val="3"/>
                  <c:pt idx="0">
                    <c:v>3,9%</c:v>
                  </c:pt>
                  <c:pt idx="1">
                    <c:v>0,0%</c:v>
                  </c:pt>
                  <c:pt idx="2">
                    <c:v>0,1%</c:v>
                  </c:pt>
                </c15:dlblRangeCache>
              </c15:datalabelsRange>
            </c:ext>
          </c:extLst>
        </c:ser>
        <c:ser>
          <c:idx val="0"/>
          <c:order val="2"/>
          <c:tx>
            <c:strRef>
              <c:f>'Graf 41'!$B$4</c:f>
              <c:strCache>
                <c:ptCount val="1"/>
                <c:pt idx="0">
                  <c:v>Úspory nezahrnuté v rozpočte / Savings not in the budget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fld id="{2BD171A2-DF14-490B-B3E1-E20286262A8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26407AA-DCA4-4942-802C-14A1E526A8E6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4.4465638565083336E-3"/>
                  <c:y val="7.9593159876649045E-3"/>
                </c:manualLayout>
              </c:layout>
              <c:tx>
                <c:rich>
                  <a:bodyPr/>
                  <a:lstStyle/>
                  <a:p>
                    <a:fld id="{0434EF07-4798-4417-A782-0F6D8E8D465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23F05FA-E650-47CF-AA45-8F14161744DB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41'!$C$3:$E$3</c:f>
              <c:strCache>
                <c:ptCount val="3"/>
                <c:pt idx="0">
                  <c:v>Zdravotníctvo 2017 / Healthcare 2017</c:v>
                </c:pt>
                <c:pt idx="1">
                  <c:v>Informačné technológie 2017 / IT 2017</c:v>
                </c:pt>
                <c:pt idx="2">
                  <c:v>Doprava - opravy, údržba, prevádzka 2017 / Transport (+ related) 2017</c:v>
                </c:pt>
              </c:strCache>
            </c:strRef>
          </c:cat>
          <c:val>
            <c:numRef>
              <c:f>'Graf 41'!$C$4:$E$4</c:f>
              <c:numCache>
                <c:formatCode>#\ ##0.0</c:formatCode>
                <c:ptCount val="3"/>
                <c:pt idx="0">
                  <c:v>189</c:v>
                </c:pt>
                <c:pt idx="1">
                  <c:v>40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41'!$C$12:$E$12</c15:f>
                <c15:dlblRangeCache>
                  <c:ptCount val="3"/>
                  <c:pt idx="0">
                    <c:v>4,3%</c:v>
                  </c:pt>
                  <c:pt idx="1">
                    <c:v>8,9%</c:v>
                  </c:pt>
                  <c:pt idx="2">
                    <c:v>0,0%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544176"/>
        <c:axId val="540544568"/>
      </c:barChart>
      <c:lineChart>
        <c:grouping val="standard"/>
        <c:varyColors val="0"/>
        <c:ser>
          <c:idx val="3"/>
          <c:order val="3"/>
          <c:tx>
            <c:strRef>
              <c:f>'Graf 41'!$B$7</c:f>
              <c:strCache>
                <c:ptCount val="1"/>
                <c:pt idx="0">
                  <c:v>Spolu/Total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CD8FCCFC-8455-43FD-90D3-9858B275EE1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0D5568F-7405-4125-BCAF-613FE3CDAA9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8705C52-A480-4B70-916D-7058760B240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solidFill>
                <a:schemeClr val="bg2">
                  <a:lumMod val="90000"/>
                </a:schemeClr>
              </a:solidFill>
              <a:ln w="635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41'!$C$8:$E$8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'Graf 41'!$C$7:$E$7</c15:f>
                <c15:dlblRangeCache>
                  <c:ptCount val="3"/>
                  <c:pt idx="0">
                    <c:v>4 443,0</c:v>
                  </c:pt>
                  <c:pt idx="1">
                    <c:v>450,0</c:v>
                  </c:pt>
                  <c:pt idx="2">
                    <c:v>968,0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520432"/>
        <c:axId val="540544960"/>
      </c:lineChart>
      <c:catAx>
        <c:axId val="54054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0544568"/>
        <c:crosses val="autoZero"/>
        <c:auto val="1"/>
        <c:lblAlgn val="ctr"/>
        <c:lblOffset val="100"/>
        <c:noMultiLvlLbl val="0"/>
      </c:catAx>
      <c:valAx>
        <c:axId val="540544568"/>
        <c:scaling>
          <c:orientation val="minMax"/>
          <c:min val="0.8600000000000001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40544176"/>
        <c:crosses val="autoZero"/>
        <c:crossBetween val="between"/>
      </c:valAx>
      <c:valAx>
        <c:axId val="540544960"/>
        <c:scaling>
          <c:orientation val="minMax"/>
          <c:max val="1"/>
        </c:scaling>
        <c:delete val="1"/>
        <c:axPos val="r"/>
        <c:numFmt formatCode="0" sourceLinked="1"/>
        <c:majorTickMark val="out"/>
        <c:minorTickMark val="none"/>
        <c:tickLblPos val="nextTo"/>
        <c:crossAx val="540520432"/>
        <c:crosses val="max"/>
        <c:crossBetween val="between"/>
      </c:valAx>
      <c:catAx>
        <c:axId val="540520432"/>
        <c:scaling>
          <c:orientation val="minMax"/>
        </c:scaling>
        <c:delete val="1"/>
        <c:axPos val="b"/>
        <c:majorTickMark val="out"/>
        <c:minorTickMark val="none"/>
        <c:tickLblPos val="nextTo"/>
        <c:crossAx val="54054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0.15867227604884751"/>
          <c:y val="0.87687798116320093"/>
          <c:w val="0.71643012832470965"/>
          <c:h val="6.0348905052952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19060778649317"/>
          <c:y val="0.10439365566410216"/>
          <c:w val="0.65858010575844528"/>
          <c:h val="0.75723003105987108"/>
        </c:manualLayout>
      </c:layout>
      <c:barChart>
        <c:barDir val="bar"/>
        <c:grouping val="clustered"/>
        <c:varyColors val="0"/>
        <c:ser>
          <c:idx val="1"/>
          <c:order val="0"/>
          <c:tx>
            <c:v>NPV oproti scenáru bez zmien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'Graf 43'!$D$1:$E$5</c15:sqref>
                  </c15:fullRef>
                </c:ext>
              </c:extLst>
              <c:f>'Graf 43'!$D$2:$E$5</c:f>
              <c:multiLvlStrCache>
                <c:ptCount val="4"/>
                <c:lvl>
                  <c:pt idx="0">
                    <c:v>Rekonštrukcie a zlepšenie efektivity</c:v>
                  </c:pt>
                  <c:pt idx="1">
                    <c:v>Štátny manažment</c:v>
                  </c:pt>
                  <c:pt idx="2">
                    <c:v>PPP</c:v>
                  </c:pt>
                  <c:pt idx="3">
                    <c:v>Hybridný manažment</c:v>
                  </c:pt>
                </c:lvl>
                <c:lvl>
                  <c:pt idx="1">
                    <c:v>Nová nemocnica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43'!$F$1:$F$5</c15:sqref>
                  </c15:fullRef>
                </c:ext>
              </c:extLst>
              <c:f>'Graf 43'!$F$2:$F$5</c:f>
              <c:numCache>
                <c:formatCode>_-* #\ ##0\ _E_U_R_-;\-* #\ ##0\ _E_U_R_-;_-* "-"??\ _E_U_R_-;_-@_-</c:formatCode>
                <c:ptCount val="4"/>
                <c:pt idx="0">
                  <c:v>254363698.47712713</c:v>
                </c:pt>
                <c:pt idx="1">
                  <c:v>244288141.45737752</c:v>
                </c:pt>
                <c:pt idx="2">
                  <c:v>221834429.93380305</c:v>
                </c:pt>
                <c:pt idx="3">
                  <c:v>288790201.1011284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A-4257-9D91-15E7FF987CE9}"/>
            </c:ext>
            <c:ext xmlns:c15="http://schemas.microsoft.com/office/drawing/2012/chart" uri="{02D57815-91ED-43cb-92C2-25804820EDAC}">
              <c15:categoryFilterExceptions>
                <c15:categoryFilterException>
                  <c15:sqref>'Graf 43'!$F$1</c15:sqref>
                  <c15:dLbl>
                    <c:idx val="-1"/>
                    <c:numFmt formatCode="#,##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rgbClr val="00B0F0"/>
                            </a:solidFill>
                            <a:latin typeface="Arial Narrow" panose="020B0606020202030204" pitchFamily="34" charset="0"/>
                            <a:ea typeface="+mn-ea"/>
                            <a:cs typeface="+mn-cs"/>
                          </a:defRPr>
                        </a:pPr>
                        <a:endParaRPr lang="sk-SK"/>
                      </a:p>
                    </c:txPr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659722632"/>
        <c:axId val="659723024"/>
      </c:barChart>
      <c:catAx>
        <c:axId val="659722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3024"/>
        <c:crosses val="autoZero"/>
        <c:auto val="1"/>
        <c:lblAlgn val="ctr"/>
        <c:lblOffset val="100"/>
        <c:noMultiLvlLbl val="0"/>
      </c:catAx>
      <c:valAx>
        <c:axId val="659723024"/>
        <c:scaling>
          <c:orientation val="minMax"/>
          <c:max val="350000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2632"/>
        <c:crosses val="autoZero"/>
        <c:crossBetween val="between"/>
        <c:majorUnit val="100000000"/>
        <c:dispUnits>
          <c:builtInUnit val="millions"/>
          <c:dispUnitsLbl>
            <c:layout/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r>
                    <a:rPr lang="sk-SK"/>
                    <a:t>mil.</a:t>
                  </a:r>
                  <a:r>
                    <a:rPr lang="sk-SK" baseline="0"/>
                    <a:t> eur</a:t>
                  </a:r>
                  <a:endParaRPr lang="sk-SK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19060778649317"/>
          <c:y val="0.10439365566410216"/>
          <c:w val="0.65858010575844528"/>
          <c:h val="0.75723003105987108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'Graf 43'!$D$22:$E$26</c15:sqref>
                  </c15:fullRef>
                </c:ext>
              </c:extLst>
              <c:f>'Graf 43'!$D$23:$E$26</c:f>
              <c:multiLvlStrCache>
                <c:ptCount val="4"/>
                <c:lvl>
                  <c:pt idx="0">
                    <c:v>Reconstruction and efficiency improvements</c:v>
                  </c:pt>
                  <c:pt idx="1">
                    <c:v>Public management</c:v>
                  </c:pt>
                  <c:pt idx="2">
                    <c:v>PPP</c:v>
                  </c:pt>
                  <c:pt idx="3">
                    <c:v>Hybrid management</c:v>
                  </c:pt>
                </c:lvl>
                <c:lvl>
                  <c:pt idx="2">
                    <c:v>New hospital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43'!$F$22:$F$26</c15:sqref>
                  </c15:fullRef>
                </c:ext>
              </c:extLst>
              <c:f>'Graf 43'!$F$23:$F$26</c:f>
              <c:numCache>
                <c:formatCode>_-* #\ ##0\ _E_U_R_-;\-* #\ ##0\ _E_U_R_-;_-* "-"??\ _E_U_R_-;_-@_-</c:formatCode>
                <c:ptCount val="4"/>
                <c:pt idx="0">
                  <c:v>254363698.47712713</c:v>
                </c:pt>
                <c:pt idx="1">
                  <c:v>244288141.45737752</c:v>
                </c:pt>
                <c:pt idx="2">
                  <c:v>221834429.93380305</c:v>
                </c:pt>
                <c:pt idx="3">
                  <c:v>288790201.1011284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A-4257-9D91-15E7FF987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659723808"/>
        <c:axId val="659724200"/>
      </c:barChart>
      <c:catAx>
        <c:axId val="659723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4200"/>
        <c:crosses val="autoZero"/>
        <c:auto val="1"/>
        <c:lblAlgn val="ctr"/>
        <c:lblOffset val="100"/>
        <c:noMultiLvlLbl val="0"/>
      </c:catAx>
      <c:valAx>
        <c:axId val="659724200"/>
        <c:scaling>
          <c:orientation val="minMax"/>
          <c:max val="350000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3808"/>
        <c:crosses val="autoZero"/>
        <c:crossBetween val="between"/>
        <c:majorUnit val="100000000"/>
        <c:dispUnits>
          <c:builtInUnit val="millions"/>
          <c:dispUnitsLbl>
            <c:layout/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r>
                    <a:rPr lang="sk-SK"/>
                    <a:t>mil.</a:t>
                  </a:r>
                  <a:r>
                    <a:rPr lang="sk-SK" baseline="0"/>
                    <a:t> eur</a:t>
                  </a:r>
                  <a:endParaRPr lang="sk-SK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89484086107861782"/>
          <c:h val="0.85272162408270391"/>
        </c:manualLayout>
      </c:layout>
      <c:lineChart>
        <c:grouping val="standard"/>
        <c:varyColors val="0"/>
        <c:ser>
          <c:idx val="0"/>
          <c:order val="0"/>
          <c:tx>
            <c:strRef>
              <c:f>'Graf 44 + 45'!$B$22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44 + 45'!$C$21:$L$21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+ 45'!$C$22:$L$22</c:f>
              <c:numCache>
                <c:formatCode>#\ ##0.0</c:formatCode>
                <c:ptCount val="10"/>
                <c:pt idx="0">
                  <c:v>34.4</c:v>
                </c:pt>
                <c:pt idx="1">
                  <c:v>34.5</c:v>
                </c:pt>
                <c:pt idx="2">
                  <c:v>36.299999999999997</c:v>
                </c:pt>
                <c:pt idx="3">
                  <c:v>34.700000000000003</c:v>
                </c:pt>
                <c:pt idx="4">
                  <c:v>36.5</c:v>
                </c:pt>
                <c:pt idx="5">
                  <c:v>36.299999999999997</c:v>
                </c:pt>
                <c:pt idx="6">
                  <c:v>38.700000000000003</c:v>
                </c:pt>
                <c:pt idx="7">
                  <c:v>39.299999999999997</c:v>
                </c:pt>
                <c:pt idx="8">
                  <c:v>42.8</c:v>
                </c:pt>
                <c:pt idx="9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44 + 45'!$B$23</c:f>
              <c:strCache>
                <c:ptCount val="1"/>
                <c:pt idx="0">
                  <c:v>EA 19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44 + 45'!$C$21:$L$21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+ 45'!$C$23:$L$23</c:f>
              <c:numCache>
                <c:formatCode>#\ ##0.0</c:formatCode>
                <c:ptCount val="10"/>
                <c:pt idx="0">
                  <c:v>44.7</c:v>
                </c:pt>
                <c:pt idx="1">
                  <c:v>44.4</c:v>
                </c:pt>
                <c:pt idx="2">
                  <c:v>44.4</c:v>
                </c:pt>
                <c:pt idx="3">
                  <c:v>44.3</c:v>
                </c:pt>
                <c:pt idx="4">
                  <c:v>44.9</c:v>
                </c:pt>
                <c:pt idx="5">
                  <c:v>46.1</c:v>
                </c:pt>
                <c:pt idx="6">
                  <c:v>46.7</c:v>
                </c:pt>
                <c:pt idx="7">
                  <c:v>46.7</c:v>
                </c:pt>
                <c:pt idx="8">
                  <c:v>46.4</c:v>
                </c:pt>
                <c:pt idx="9">
                  <c:v>46.2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44 + 45'!$B$24</c:f>
              <c:strCache>
                <c:ptCount val="1"/>
                <c:pt idx="0">
                  <c:v>V3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44 + 45'!$C$21:$L$21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+ 45'!$C$24:$L$24</c:f>
              <c:numCache>
                <c:formatCode>#\ ##0.0</c:formatCode>
                <c:ptCount val="10"/>
                <c:pt idx="0">
                  <c:v>41.866666666666667</c:v>
                </c:pt>
                <c:pt idx="1">
                  <c:v>41.266666666666673</c:v>
                </c:pt>
                <c:pt idx="2">
                  <c:v>40.6</c:v>
                </c:pt>
                <c:pt idx="3">
                  <c:v>40.699999999999996</c:v>
                </c:pt>
                <c:pt idx="4">
                  <c:v>41.2</c:v>
                </c:pt>
                <c:pt idx="5">
                  <c:v>41.93333333333333</c:v>
                </c:pt>
                <c:pt idx="6">
                  <c:v>42.233333333333334</c:v>
                </c:pt>
                <c:pt idx="7">
                  <c:v>42</c:v>
                </c:pt>
                <c:pt idx="8">
                  <c:v>42.966666666666669</c:v>
                </c:pt>
                <c:pt idx="9">
                  <c:v>41.633333333333333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24984"/>
        <c:axId val="659725376"/>
      </c:lineChart>
      <c:catAx>
        <c:axId val="659724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5376"/>
        <c:crosses val="autoZero"/>
        <c:auto val="1"/>
        <c:lblAlgn val="ctr"/>
        <c:lblOffset val="100"/>
        <c:noMultiLvlLbl val="0"/>
      </c:catAx>
      <c:valAx>
        <c:axId val="65972537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859604355011175"/>
          <c:y val="0.65539781697029564"/>
          <c:w val="0.45600828721243547"/>
          <c:h val="0.187495326921773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91257922028039162"/>
          <c:h val="0.86179191886728423"/>
        </c:manualLayout>
      </c:layout>
      <c:lineChart>
        <c:grouping val="standard"/>
        <c:varyColors val="0"/>
        <c:ser>
          <c:idx val="0"/>
          <c:order val="0"/>
          <c:tx>
            <c:strRef>
              <c:f>'Graf 44 + 45'!$B$22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44 + 45'!$C$21:$L$21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+ 45'!$O$22:$X$22</c:f>
              <c:numCache>
                <c:formatCode>#\ ##0.0</c:formatCode>
                <c:ptCount val="10"/>
                <c:pt idx="0">
                  <c:v>29.099999999999998</c:v>
                </c:pt>
                <c:pt idx="1">
                  <c:v>28.8</c:v>
                </c:pt>
                <c:pt idx="2">
                  <c:v>28.799999999999997</c:v>
                </c:pt>
                <c:pt idx="3">
                  <c:v>27.9</c:v>
                </c:pt>
                <c:pt idx="4">
                  <c:v>28.400000000000002</c:v>
                </c:pt>
                <c:pt idx="5">
                  <c:v>28.2</c:v>
                </c:pt>
                <c:pt idx="6">
                  <c:v>30.200000000000003</c:v>
                </c:pt>
                <c:pt idx="7">
                  <c:v>31.1</c:v>
                </c:pt>
                <c:pt idx="8">
                  <c:v>32.200000000000003</c:v>
                </c:pt>
                <c:pt idx="9">
                  <c:v>32.6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44 + 45'!$B$23</c:f>
              <c:strCache>
                <c:ptCount val="1"/>
                <c:pt idx="0">
                  <c:v>EA 19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44 + 45'!$C$21:$L$21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+ 45'!$O$23:$X$23</c:f>
              <c:numCache>
                <c:formatCode>#\ ##0.0</c:formatCode>
                <c:ptCount val="10"/>
                <c:pt idx="0">
                  <c:v>39.9</c:v>
                </c:pt>
                <c:pt idx="1">
                  <c:v>39.300000000000004</c:v>
                </c:pt>
                <c:pt idx="2">
                  <c:v>39.1</c:v>
                </c:pt>
                <c:pt idx="3">
                  <c:v>39.099999999999994</c:v>
                </c:pt>
                <c:pt idx="4">
                  <c:v>39.499999999999993</c:v>
                </c:pt>
                <c:pt idx="5">
                  <c:v>40.699999999999996</c:v>
                </c:pt>
                <c:pt idx="6">
                  <c:v>41.3</c:v>
                </c:pt>
                <c:pt idx="7">
                  <c:v>41.3</c:v>
                </c:pt>
                <c:pt idx="8">
                  <c:v>41.199999999999996</c:v>
                </c:pt>
                <c:pt idx="9">
                  <c:v>41.1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44 + 45'!$B$24</c:f>
              <c:strCache>
                <c:ptCount val="1"/>
                <c:pt idx="0">
                  <c:v>V3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44 + 45'!$C$21:$L$21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+ 45'!$O$24:$X$24</c:f>
              <c:numCache>
                <c:formatCode>#\ ##0.0</c:formatCode>
                <c:ptCount val="10"/>
                <c:pt idx="0">
                  <c:v>36.366666666666667</c:v>
                </c:pt>
                <c:pt idx="1">
                  <c:v>35.699999999999996</c:v>
                </c:pt>
                <c:pt idx="2">
                  <c:v>34.366666666666667</c:v>
                </c:pt>
                <c:pt idx="3">
                  <c:v>34</c:v>
                </c:pt>
                <c:pt idx="4">
                  <c:v>34.333333333333329</c:v>
                </c:pt>
                <c:pt idx="5">
                  <c:v>35.133333333333333</c:v>
                </c:pt>
                <c:pt idx="6">
                  <c:v>35.199999999999996</c:v>
                </c:pt>
                <c:pt idx="7">
                  <c:v>34.9</c:v>
                </c:pt>
                <c:pt idx="8">
                  <c:v>35.466666666666669</c:v>
                </c:pt>
                <c:pt idx="9">
                  <c:v>36.333333333333336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26160"/>
        <c:axId val="659726552"/>
      </c:lineChart>
      <c:catAx>
        <c:axId val="6597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6552"/>
        <c:crosses val="autoZero"/>
        <c:auto val="1"/>
        <c:lblAlgn val="ctr"/>
        <c:lblOffset val="100"/>
        <c:noMultiLvlLbl val="0"/>
      </c:catAx>
      <c:valAx>
        <c:axId val="659726552"/>
        <c:scaling>
          <c:orientation val="minMax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090460976191727E-2"/>
          <c:y val="2.0008570357276767E-2"/>
          <c:w val="0.45600828721243547"/>
          <c:h val="0.17273519381505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6244080601036"/>
          <c:y val="5.0925925925925923E-2"/>
          <c:w val="0.85183685372661755"/>
          <c:h val="0.78625765529308833"/>
        </c:manualLayout>
      </c:layout>
      <c:lineChart>
        <c:grouping val="standard"/>
        <c:varyColors val="0"/>
        <c:ser>
          <c:idx val="2"/>
          <c:order val="0"/>
          <c:tx>
            <c:strRef>
              <c:f>'Graf 5+6'!$H$28</c:f>
              <c:strCache>
                <c:ptCount val="1"/>
                <c:pt idx="0">
                  <c:v>ECB inflation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5+6'!$I$9:$AT$9</c:f>
              <c:numCache>
                <c:formatCode>m/d/yyyy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5+6'!$I$12:$AT$12</c:f>
              <c:numCache>
                <c:formatCode>0.00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'Graf 5+6'!$H$26</c:f>
              <c:strCache>
                <c:ptCount val="1"/>
                <c:pt idx="0">
                  <c:v>Eurozone inflation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5+6'!$I$9:$AT$9</c:f>
              <c:numCache>
                <c:formatCode>m/d/yyyy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5+6'!$I$10:$AT$10</c:f>
              <c:numCache>
                <c:formatCode>#\ ##0.0</c:formatCode>
                <c:ptCount val="38"/>
                <c:pt idx="0">
                  <c:v>0.8</c:v>
                </c:pt>
                <c:pt idx="1">
                  <c:v>0.7</c:v>
                </c:pt>
                <c:pt idx="2">
                  <c:v>0.5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0.4</c:v>
                </c:pt>
                <c:pt idx="10">
                  <c:v>0.3</c:v>
                </c:pt>
                <c:pt idx="11">
                  <c:v>-0.2</c:v>
                </c:pt>
                <c:pt idx="12">
                  <c:v>-0.6</c:v>
                </c:pt>
                <c:pt idx="13">
                  <c:v>-0.3</c:v>
                </c:pt>
                <c:pt idx="14">
                  <c:v>-0.1</c:v>
                </c:pt>
                <c:pt idx="15">
                  <c:v>0</c:v>
                </c:pt>
                <c:pt idx="16">
                  <c:v>0.3</c:v>
                </c:pt>
                <c:pt idx="17">
                  <c:v>0.2</c:v>
                </c:pt>
                <c:pt idx="18">
                  <c:v>0.2</c:v>
                </c:pt>
                <c:pt idx="19">
                  <c:v>0.1</c:v>
                </c:pt>
                <c:pt idx="20">
                  <c:v>-0.1</c:v>
                </c:pt>
                <c:pt idx="21">
                  <c:v>0.1</c:v>
                </c:pt>
                <c:pt idx="22">
                  <c:v>0.1</c:v>
                </c:pt>
                <c:pt idx="23">
                  <c:v>0.2</c:v>
                </c:pt>
                <c:pt idx="24">
                  <c:v>0.3</c:v>
                </c:pt>
                <c:pt idx="25">
                  <c:v>-0.2</c:v>
                </c:pt>
                <c:pt idx="26">
                  <c:v>0</c:v>
                </c:pt>
                <c:pt idx="27">
                  <c:v>-0.2</c:v>
                </c:pt>
                <c:pt idx="28">
                  <c:v>-0.1</c:v>
                </c:pt>
                <c:pt idx="29">
                  <c:v>0.1</c:v>
                </c:pt>
                <c:pt idx="30">
                  <c:v>0.2</c:v>
                </c:pt>
                <c:pt idx="31">
                  <c:v>0.2</c:v>
                </c:pt>
                <c:pt idx="32">
                  <c:v>0.4</c:v>
                </c:pt>
                <c:pt idx="33">
                  <c:v>0.5</c:v>
                </c:pt>
                <c:pt idx="34">
                  <c:v>0.6</c:v>
                </c:pt>
                <c:pt idx="35">
                  <c:v>1.1000000000000001</c:v>
                </c:pt>
                <c:pt idx="36">
                  <c:v>1.8</c:v>
                </c:pt>
                <c:pt idx="37">
                  <c:v>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'Graf 5+6'!$H$27</c:f>
              <c:strCache>
                <c:ptCount val="1"/>
                <c:pt idx="0">
                  <c:v>Inflation expectations in 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5+6'!$I$9:$AT$9</c:f>
              <c:numCache>
                <c:formatCode>m/d/yyyy</c:formatCode>
                <c:ptCount val="3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'Graf 5+6'!$I$11:$AT$11</c:f>
              <c:numCache>
                <c:formatCode>0.00</c:formatCode>
                <c:ptCount val="38"/>
                <c:pt idx="0">
                  <c:v>2.1150000000000002</c:v>
                </c:pt>
                <c:pt idx="1">
                  <c:v>2.1288</c:v>
                </c:pt>
                <c:pt idx="2">
                  <c:v>2.1103999999999998</c:v>
                </c:pt>
                <c:pt idx="3">
                  <c:v>2.069</c:v>
                </c:pt>
                <c:pt idx="4">
                  <c:v>2.048</c:v>
                </c:pt>
                <c:pt idx="5">
                  <c:v>2.137</c:v>
                </c:pt>
                <c:pt idx="6">
                  <c:v>2.1019999999999999</c:v>
                </c:pt>
                <c:pt idx="7">
                  <c:v>2.0125000000000002</c:v>
                </c:pt>
                <c:pt idx="8">
                  <c:v>1.9370000000000001</c:v>
                </c:pt>
                <c:pt idx="9">
                  <c:v>1.8325</c:v>
                </c:pt>
                <c:pt idx="10">
                  <c:v>1.7605</c:v>
                </c:pt>
                <c:pt idx="11">
                  <c:v>1.7269999999999999</c:v>
                </c:pt>
                <c:pt idx="12">
                  <c:v>1.575</c:v>
                </c:pt>
                <c:pt idx="13">
                  <c:v>1.6175000000000002</c:v>
                </c:pt>
                <c:pt idx="14">
                  <c:v>1.635</c:v>
                </c:pt>
                <c:pt idx="15">
                  <c:v>1.7650000000000001</c:v>
                </c:pt>
                <c:pt idx="16">
                  <c:v>1.722</c:v>
                </c:pt>
                <c:pt idx="17">
                  <c:v>1.845</c:v>
                </c:pt>
                <c:pt idx="18">
                  <c:v>1.77</c:v>
                </c:pt>
                <c:pt idx="19">
                  <c:v>1.677</c:v>
                </c:pt>
                <c:pt idx="20">
                  <c:v>1.56</c:v>
                </c:pt>
                <c:pt idx="21">
                  <c:v>1.7149999999999999</c:v>
                </c:pt>
                <c:pt idx="22">
                  <c:v>1.7925</c:v>
                </c:pt>
                <c:pt idx="23">
                  <c:v>1.6825000000000001</c:v>
                </c:pt>
                <c:pt idx="24">
                  <c:v>1.5150000000000001</c:v>
                </c:pt>
                <c:pt idx="25">
                  <c:v>1.361</c:v>
                </c:pt>
                <c:pt idx="26">
                  <c:v>1.407</c:v>
                </c:pt>
                <c:pt idx="27">
                  <c:v>1.4710000000000001</c:v>
                </c:pt>
                <c:pt idx="28">
                  <c:v>1.4750000000000001</c:v>
                </c:pt>
                <c:pt idx="29">
                  <c:v>1.3180000000000001</c:v>
                </c:pt>
                <c:pt idx="30">
                  <c:v>1.3395999999999999</c:v>
                </c:pt>
                <c:pt idx="31">
                  <c:v>1.302</c:v>
                </c:pt>
                <c:pt idx="32">
                  <c:v>1.355</c:v>
                </c:pt>
                <c:pt idx="33">
                  <c:v>1.4647000000000001</c:v>
                </c:pt>
                <c:pt idx="34">
                  <c:v>1.619</c:v>
                </c:pt>
                <c:pt idx="35">
                  <c:v>1.7435</c:v>
                </c:pt>
                <c:pt idx="36">
                  <c:v>1.8</c:v>
                </c:pt>
                <c:pt idx="37">
                  <c:v>1.696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110688"/>
        <c:axId val="431111080"/>
      </c:lineChart>
      <c:dateAx>
        <c:axId val="431110688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31111080"/>
        <c:crosses val="autoZero"/>
        <c:auto val="1"/>
        <c:lblOffset val="100"/>
        <c:baseTimeUnit val="months"/>
      </c:dateAx>
      <c:valAx>
        <c:axId val="43111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3111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910913913538588E-2"/>
          <c:y val="0.58738261883931175"/>
          <c:w val="0.61384660250801981"/>
          <c:h val="0.24595071449402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89484086107861782"/>
          <c:h val="0.85272162408270391"/>
        </c:manualLayout>
      </c:layout>
      <c:lineChart>
        <c:grouping val="standard"/>
        <c:varyColors val="0"/>
        <c:ser>
          <c:idx val="0"/>
          <c:order val="0"/>
          <c:tx>
            <c:strRef>
              <c:f>'Graf 44 + 45'!$B$49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44 + 45'!$C$48:$L$48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+ 45'!$C$49:$L$49</c:f>
              <c:numCache>
                <c:formatCode>#\ ##0.0</c:formatCode>
                <c:ptCount val="10"/>
                <c:pt idx="0">
                  <c:v>34.4</c:v>
                </c:pt>
                <c:pt idx="1">
                  <c:v>34.5</c:v>
                </c:pt>
                <c:pt idx="2">
                  <c:v>36.299999999999997</c:v>
                </c:pt>
                <c:pt idx="3">
                  <c:v>34.700000000000003</c:v>
                </c:pt>
                <c:pt idx="4">
                  <c:v>36.5</c:v>
                </c:pt>
                <c:pt idx="5">
                  <c:v>36.299999999999997</c:v>
                </c:pt>
                <c:pt idx="6">
                  <c:v>38.700000000000003</c:v>
                </c:pt>
                <c:pt idx="7">
                  <c:v>39.299999999999997</c:v>
                </c:pt>
                <c:pt idx="8">
                  <c:v>42.8</c:v>
                </c:pt>
                <c:pt idx="9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44 + 45'!$B$50</c:f>
              <c:strCache>
                <c:ptCount val="1"/>
                <c:pt idx="0">
                  <c:v>Euro area average (19 countries)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44 + 45'!$C$48:$L$48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+ 45'!$C$50:$L$50</c:f>
              <c:numCache>
                <c:formatCode>#\ ##0.0</c:formatCode>
                <c:ptCount val="10"/>
                <c:pt idx="0">
                  <c:v>44.7</c:v>
                </c:pt>
                <c:pt idx="1">
                  <c:v>44.4</c:v>
                </c:pt>
                <c:pt idx="2">
                  <c:v>44.4</c:v>
                </c:pt>
                <c:pt idx="3">
                  <c:v>44.3</c:v>
                </c:pt>
                <c:pt idx="4">
                  <c:v>44.9</c:v>
                </c:pt>
                <c:pt idx="5">
                  <c:v>46.1</c:v>
                </c:pt>
                <c:pt idx="6">
                  <c:v>46.7</c:v>
                </c:pt>
                <c:pt idx="7">
                  <c:v>46.7</c:v>
                </c:pt>
                <c:pt idx="8">
                  <c:v>46.4</c:v>
                </c:pt>
                <c:pt idx="9">
                  <c:v>46.2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44 + 45'!$B$51</c:f>
              <c:strCache>
                <c:ptCount val="1"/>
                <c:pt idx="0">
                  <c:v>V3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44 + 45'!$C$48:$L$48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+ 45'!$C$51:$L$51</c:f>
              <c:numCache>
                <c:formatCode>#\ ##0.0</c:formatCode>
                <c:ptCount val="10"/>
                <c:pt idx="0">
                  <c:v>41.866666666666667</c:v>
                </c:pt>
                <c:pt idx="1">
                  <c:v>41.266666666666673</c:v>
                </c:pt>
                <c:pt idx="2">
                  <c:v>40.6</c:v>
                </c:pt>
                <c:pt idx="3">
                  <c:v>40.699999999999996</c:v>
                </c:pt>
                <c:pt idx="4">
                  <c:v>41.2</c:v>
                </c:pt>
                <c:pt idx="5">
                  <c:v>41.93333333333333</c:v>
                </c:pt>
                <c:pt idx="6">
                  <c:v>42.233333333333334</c:v>
                </c:pt>
                <c:pt idx="7">
                  <c:v>42</c:v>
                </c:pt>
                <c:pt idx="8">
                  <c:v>42.966666666666669</c:v>
                </c:pt>
                <c:pt idx="9">
                  <c:v>41.633333333333333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27336"/>
        <c:axId val="659727728"/>
      </c:lineChart>
      <c:catAx>
        <c:axId val="65972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7728"/>
        <c:crosses val="autoZero"/>
        <c:auto val="1"/>
        <c:lblAlgn val="ctr"/>
        <c:lblOffset val="100"/>
        <c:noMultiLvlLbl val="0"/>
      </c:catAx>
      <c:valAx>
        <c:axId val="659727728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7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859604355011175"/>
          <c:y val="0.65539781697029564"/>
          <c:w val="0.45600828721243547"/>
          <c:h val="0.187495326921773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91257922028039162"/>
          <c:h val="0.86179191886728423"/>
        </c:manualLayout>
      </c:layout>
      <c:lineChart>
        <c:grouping val="standard"/>
        <c:varyColors val="0"/>
        <c:ser>
          <c:idx val="0"/>
          <c:order val="0"/>
          <c:tx>
            <c:strRef>
              <c:f>'Graf 44 + 45'!$N$49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44 + 45'!$O$48:$X$48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+ 45'!$O$49:$X$49</c:f>
              <c:numCache>
                <c:formatCode>#\ ##0.0</c:formatCode>
                <c:ptCount val="10"/>
                <c:pt idx="0">
                  <c:v>29.099999999999998</c:v>
                </c:pt>
                <c:pt idx="1">
                  <c:v>28.8</c:v>
                </c:pt>
                <c:pt idx="2">
                  <c:v>28.799999999999997</c:v>
                </c:pt>
                <c:pt idx="3">
                  <c:v>27.9</c:v>
                </c:pt>
                <c:pt idx="4">
                  <c:v>28.400000000000002</c:v>
                </c:pt>
                <c:pt idx="5">
                  <c:v>28.2</c:v>
                </c:pt>
                <c:pt idx="6">
                  <c:v>30.200000000000003</c:v>
                </c:pt>
                <c:pt idx="7">
                  <c:v>31.1</c:v>
                </c:pt>
                <c:pt idx="8">
                  <c:v>32.200000000000003</c:v>
                </c:pt>
                <c:pt idx="9">
                  <c:v>32.6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44 + 45'!$N$50</c:f>
              <c:strCache>
                <c:ptCount val="1"/>
                <c:pt idx="0">
                  <c:v>Euro area average (19 countries)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44 + 45'!$O$48:$X$48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+ 45'!$O$50:$X$50</c:f>
              <c:numCache>
                <c:formatCode>#\ ##0.0</c:formatCode>
                <c:ptCount val="10"/>
                <c:pt idx="0">
                  <c:v>39.9</c:v>
                </c:pt>
                <c:pt idx="1">
                  <c:v>39.300000000000004</c:v>
                </c:pt>
                <c:pt idx="2">
                  <c:v>39.1</c:v>
                </c:pt>
                <c:pt idx="3">
                  <c:v>39.099999999999994</c:v>
                </c:pt>
                <c:pt idx="4">
                  <c:v>39.499999999999993</c:v>
                </c:pt>
                <c:pt idx="5">
                  <c:v>40.699999999999996</c:v>
                </c:pt>
                <c:pt idx="6">
                  <c:v>41.3</c:v>
                </c:pt>
                <c:pt idx="7">
                  <c:v>41.3</c:v>
                </c:pt>
                <c:pt idx="8">
                  <c:v>41.199999999999996</c:v>
                </c:pt>
                <c:pt idx="9">
                  <c:v>41.1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44 + 45'!$N$51</c:f>
              <c:strCache>
                <c:ptCount val="1"/>
                <c:pt idx="0">
                  <c:v>V3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44 + 45'!$O$48:$X$48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'Graf 44 + 45'!$O$51:$X$51</c:f>
              <c:numCache>
                <c:formatCode>#\ ##0.0</c:formatCode>
                <c:ptCount val="10"/>
                <c:pt idx="0">
                  <c:v>36.366666666666667</c:v>
                </c:pt>
                <c:pt idx="1">
                  <c:v>35.699999999999996</c:v>
                </c:pt>
                <c:pt idx="2">
                  <c:v>34.366666666666667</c:v>
                </c:pt>
                <c:pt idx="3">
                  <c:v>34</c:v>
                </c:pt>
                <c:pt idx="4">
                  <c:v>34.333333333333329</c:v>
                </c:pt>
                <c:pt idx="5">
                  <c:v>35.133333333333333</c:v>
                </c:pt>
                <c:pt idx="6">
                  <c:v>35.199999999999996</c:v>
                </c:pt>
                <c:pt idx="7">
                  <c:v>34.9</c:v>
                </c:pt>
                <c:pt idx="8">
                  <c:v>35.466666666666669</c:v>
                </c:pt>
                <c:pt idx="9">
                  <c:v>36.333333333333336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28512"/>
        <c:axId val="659728904"/>
      </c:lineChart>
      <c:catAx>
        <c:axId val="6597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8904"/>
        <c:crosses val="autoZero"/>
        <c:auto val="1"/>
        <c:lblAlgn val="ctr"/>
        <c:lblOffset val="100"/>
        <c:noMultiLvlLbl val="0"/>
      </c:catAx>
      <c:valAx>
        <c:axId val="659728904"/>
        <c:scaling>
          <c:orientation val="minMax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972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090460976191727E-2"/>
          <c:y val="2.0008570357276767E-2"/>
          <c:w val="0.45600828721243547"/>
          <c:h val="0.17273519381505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46 + 47'!$B$22:$B$22</c:f>
              <c:strCache>
                <c:ptCount val="1"/>
                <c:pt idx="0">
                  <c:v>Sociálna poisťovňa (EAO+dlžné)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+ 47'!$C$22:$H$22</c:f>
              <c:numCache>
                <c:formatCode>0.0</c:formatCode>
                <c:ptCount val="6"/>
                <c:pt idx="0">
                  <c:v>7.8383276809429496</c:v>
                </c:pt>
                <c:pt idx="1">
                  <c:v>8.1330310552698162</c:v>
                </c:pt>
                <c:pt idx="2">
                  <c:v>8.219277687565075</c:v>
                </c:pt>
                <c:pt idx="3">
                  <c:v>8.1708251726337711</c:v>
                </c:pt>
                <c:pt idx="4">
                  <c:v>8.0814978214282736</c:v>
                </c:pt>
                <c:pt idx="5">
                  <c:v>8.0548020741858242</c:v>
                </c:pt>
              </c:numCache>
            </c:numRef>
          </c:val>
        </c:ser>
        <c:ser>
          <c:idx val="1"/>
          <c:order val="1"/>
          <c:tx>
            <c:strRef>
              <c:f>'Graf 46 + 47'!$B$23:$B$23</c:f>
              <c:strCache>
                <c:ptCount val="1"/>
                <c:pt idx="0">
                  <c:v>Daň z pridanej hodnoty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+ 47'!$C$23:$H$23</c:f>
              <c:numCache>
                <c:formatCode>0.0</c:formatCode>
                <c:ptCount val="6"/>
                <c:pt idx="0">
                  <c:v>6.8883918390768493</c:v>
                </c:pt>
                <c:pt idx="1">
                  <c:v>6.6889087334712451</c:v>
                </c:pt>
                <c:pt idx="2">
                  <c:v>6.8987144910439708</c:v>
                </c:pt>
                <c:pt idx="3">
                  <c:v>6.7643540643081783</c:v>
                </c:pt>
                <c:pt idx="4">
                  <c:v>6.6454297378366949</c:v>
                </c:pt>
                <c:pt idx="5">
                  <c:v>6.5658499973548059</c:v>
                </c:pt>
              </c:numCache>
            </c:numRef>
          </c:val>
        </c:ser>
        <c:ser>
          <c:idx val="2"/>
          <c:order val="2"/>
          <c:tx>
            <c:strRef>
              <c:f>'Graf 46 + 47'!$B$24:$B$24</c:f>
              <c:strCache>
                <c:ptCount val="1"/>
                <c:pt idx="0">
                  <c:v>Ostatné dane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+ 47'!$C$24:$H$24</c:f>
              <c:numCache>
                <c:formatCode>0.0</c:formatCode>
                <c:ptCount val="6"/>
                <c:pt idx="0">
                  <c:v>4.2574049045001106</c:v>
                </c:pt>
                <c:pt idx="1">
                  <c:v>4.3611524448940457</c:v>
                </c:pt>
                <c:pt idx="2">
                  <c:v>4.1921509146710649</c:v>
                </c:pt>
                <c:pt idx="3">
                  <c:v>4.1600821479334309</c:v>
                </c:pt>
                <c:pt idx="4">
                  <c:v>4.0026003578363518</c:v>
                </c:pt>
                <c:pt idx="5">
                  <c:v>3.8902296645233281</c:v>
                </c:pt>
              </c:numCache>
            </c:numRef>
          </c:val>
        </c:ser>
        <c:ser>
          <c:idx val="3"/>
          <c:order val="3"/>
          <c:tx>
            <c:strRef>
              <c:f>'Graf 46 + 47'!$B$25:$B$25</c:f>
              <c:strCache>
                <c:ptCount val="1"/>
                <c:pt idx="0">
                  <c:v>Zdravotné poisťovne (EAO+dlžné)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+ 47'!$C$25:$H$25</c:f>
              <c:numCache>
                <c:formatCode>0.0</c:formatCode>
                <c:ptCount val="6"/>
                <c:pt idx="0">
                  <c:v>3.6706156900890954</c:v>
                </c:pt>
                <c:pt idx="1">
                  <c:v>3.6824567637808858</c:v>
                </c:pt>
                <c:pt idx="2">
                  <c:v>3.8574195103846338</c:v>
                </c:pt>
                <c:pt idx="3">
                  <c:v>3.8669080368434603</c:v>
                </c:pt>
                <c:pt idx="4">
                  <c:v>3.8761365744909315</c:v>
                </c:pt>
                <c:pt idx="5">
                  <c:v>3.910353791200913</c:v>
                </c:pt>
              </c:numCache>
            </c:numRef>
          </c:val>
        </c:ser>
        <c:ser>
          <c:idx val="4"/>
          <c:order val="4"/>
          <c:tx>
            <c:strRef>
              <c:f>'Graf 46 + 47'!$B$26:$B$26</c:f>
              <c:strCache>
                <c:ptCount val="1"/>
                <c:pt idx="0">
                  <c:v>Daň z príjmu právnických osôb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+ 47'!$C$26:$H$26</c:f>
              <c:numCache>
                <c:formatCode>0.0</c:formatCode>
                <c:ptCount val="6"/>
                <c:pt idx="0">
                  <c:v>3.7431559275744557</c:v>
                </c:pt>
                <c:pt idx="1">
                  <c:v>3.7780551012596608</c:v>
                </c:pt>
                <c:pt idx="2">
                  <c:v>3.6492257681784062</c:v>
                </c:pt>
                <c:pt idx="3">
                  <c:v>3.5873946570267821</c:v>
                </c:pt>
                <c:pt idx="4">
                  <c:v>3.5667135137922181</c:v>
                </c:pt>
                <c:pt idx="5">
                  <c:v>3.6040850537661449</c:v>
                </c:pt>
              </c:numCache>
            </c:numRef>
          </c:val>
        </c:ser>
        <c:ser>
          <c:idx val="5"/>
          <c:order val="5"/>
          <c:tx>
            <c:strRef>
              <c:f>'Graf 46 + 47'!$B$27:$B$27</c:f>
              <c:strCache>
                <c:ptCount val="1"/>
                <c:pt idx="0">
                  <c:v>Daň z príjmu fyzických osôb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+ 47'!$C$27:$H$27</c:f>
              <c:numCache>
                <c:formatCode>0.0</c:formatCode>
                <c:ptCount val="6"/>
                <c:pt idx="0">
                  <c:v>3.1319755450069096</c:v>
                </c:pt>
                <c:pt idx="1">
                  <c:v>3.3278523300673277</c:v>
                </c:pt>
                <c:pt idx="2">
                  <c:v>3.3636807281199297</c:v>
                </c:pt>
                <c:pt idx="3">
                  <c:v>3.3986804848294931</c:v>
                </c:pt>
                <c:pt idx="4">
                  <c:v>3.4107366408882838</c:v>
                </c:pt>
                <c:pt idx="5">
                  <c:v>3.4170401764871317</c:v>
                </c:pt>
              </c:numCache>
            </c:numRef>
          </c:val>
        </c:ser>
        <c:ser>
          <c:idx val="6"/>
          <c:order val="6"/>
          <c:tx>
            <c:strRef>
              <c:f>'Graf 46 + 47'!$B$28:$B$28</c:f>
              <c:strCache>
                <c:ptCount val="1"/>
                <c:pt idx="0">
                  <c:v>Spotrebné dane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+ 47'!$C$21:$H$21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+ 47'!$C$28:$H$28</c:f>
              <c:numCache>
                <c:formatCode>0.0</c:formatCode>
                <c:ptCount val="6"/>
                <c:pt idx="0">
                  <c:v>2.679300641611615</c:v>
                </c:pt>
                <c:pt idx="1">
                  <c:v>2.6852009661206564</c:v>
                </c:pt>
                <c:pt idx="2">
                  <c:v>2.6899426949653744</c:v>
                </c:pt>
                <c:pt idx="3">
                  <c:v>2.6167877248156151</c:v>
                </c:pt>
                <c:pt idx="4">
                  <c:v>2.561722289621259</c:v>
                </c:pt>
                <c:pt idx="5">
                  <c:v>2.4821602759071277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745520"/>
        <c:axId val="662745912"/>
      </c:barChart>
      <c:catAx>
        <c:axId val="66274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2745912"/>
        <c:crosses val="autoZero"/>
        <c:auto val="1"/>
        <c:lblAlgn val="ctr"/>
        <c:lblOffset val="100"/>
        <c:noMultiLvlLbl val="0"/>
      </c:catAx>
      <c:valAx>
        <c:axId val="66274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274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46 + 47'!$B$50</c:f>
              <c:strCache>
                <c:ptCount val="1"/>
                <c:pt idx="0">
                  <c:v>Social contributions (EAP+outstanding)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+ 47'!$C$49:$H$49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+ 47'!$C$50:$H$50</c:f>
              <c:numCache>
                <c:formatCode>0.0</c:formatCode>
                <c:ptCount val="6"/>
                <c:pt idx="0">
                  <c:v>7.8383276809429496</c:v>
                </c:pt>
                <c:pt idx="1">
                  <c:v>8.1330310552698162</c:v>
                </c:pt>
                <c:pt idx="2">
                  <c:v>8.219277687565075</c:v>
                </c:pt>
                <c:pt idx="3">
                  <c:v>8.1708251726337711</c:v>
                </c:pt>
                <c:pt idx="4">
                  <c:v>8.0814978214282736</c:v>
                </c:pt>
                <c:pt idx="5">
                  <c:v>8.0548020741858242</c:v>
                </c:pt>
              </c:numCache>
            </c:numRef>
          </c:val>
        </c:ser>
        <c:ser>
          <c:idx val="1"/>
          <c:order val="1"/>
          <c:tx>
            <c:strRef>
              <c:f>'Graf 46 + 47'!$B$51</c:f>
              <c:strCache>
                <c:ptCount val="1"/>
                <c:pt idx="0">
                  <c:v>Value added tax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+ 47'!$C$49:$H$49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+ 47'!$C$51:$H$51</c:f>
              <c:numCache>
                <c:formatCode>0.0</c:formatCode>
                <c:ptCount val="6"/>
                <c:pt idx="0">
                  <c:v>6.8883918390768493</c:v>
                </c:pt>
                <c:pt idx="1">
                  <c:v>6.6889087334712451</c:v>
                </c:pt>
                <c:pt idx="2">
                  <c:v>6.8987144910439708</c:v>
                </c:pt>
                <c:pt idx="3">
                  <c:v>6.7643540643081783</c:v>
                </c:pt>
                <c:pt idx="4">
                  <c:v>6.6454297378366949</c:v>
                </c:pt>
                <c:pt idx="5">
                  <c:v>6.5658499973548059</c:v>
                </c:pt>
              </c:numCache>
            </c:numRef>
          </c:val>
        </c:ser>
        <c:ser>
          <c:idx val="2"/>
          <c:order val="2"/>
          <c:tx>
            <c:strRef>
              <c:f>'Graf 46 + 47'!$B$52</c:f>
              <c:strCache>
                <c:ptCount val="1"/>
                <c:pt idx="0">
                  <c:v>Other taxes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+ 47'!$C$49:$H$49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+ 47'!$C$52:$H$52</c:f>
              <c:numCache>
                <c:formatCode>0.0</c:formatCode>
                <c:ptCount val="6"/>
                <c:pt idx="0">
                  <c:v>4.2574049045001106</c:v>
                </c:pt>
                <c:pt idx="1">
                  <c:v>4.3611524448940457</c:v>
                </c:pt>
                <c:pt idx="2">
                  <c:v>4.1921509146710649</c:v>
                </c:pt>
                <c:pt idx="3">
                  <c:v>4.1600821479334309</c:v>
                </c:pt>
                <c:pt idx="4">
                  <c:v>4.0026003578363518</c:v>
                </c:pt>
                <c:pt idx="5">
                  <c:v>3.8902296645233281</c:v>
                </c:pt>
              </c:numCache>
            </c:numRef>
          </c:val>
        </c:ser>
        <c:ser>
          <c:idx val="3"/>
          <c:order val="3"/>
          <c:tx>
            <c:strRef>
              <c:f>'Graf 46 + 47'!$B$53</c:f>
              <c:strCache>
                <c:ptCount val="1"/>
                <c:pt idx="0">
                  <c:v>Health contributions (EAP+outstanding)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+ 47'!$C$49:$H$49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+ 47'!$C$53:$H$53</c:f>
              <c:numCache>
                <c:formatCode>0.0</c:formatCode>
                <c:ptCount val="6"/>
                <c:pt idx="0">
                  <c:v>3.6706156900890954</c:v>
                </c:pt>
                <c:pt idx="1">
                  <c:v>3.6824567637808858</c:v>
                </c:pt>
                <c:pt idx="2">
                  <c:v>3.8574195103846338</c:v>
                </c:pt>
                <c:pt idx="3">
                  <c:v>3.8669080368434603</c:v>
                </c:pt>
                <c:pt idx="4">
                  <c:v>3.8761365744909315</c:v>
                </c:pt>
                <c:pt idx="5">
                  <c:v>3.910353791200913</c:v>
                </c:pt>
              </c:numCache>
            </c:numRef>
          </c:val>
        </c:ser>
        <c:ser>
          <c:idx val="4"/>
          <c:order val="4"/>
          <c:tx>
            <c:strRef>
              <c:f>'Graf 46 + 47'!$B$54</c:f>
              <c:strCache>
                <c:ptCount val="1"/>
                <c:pt idx="0">
                  <c:v>Corporate income tax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+ 47'!$C$49:$H$49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+ 47'!$C$54:$H$54</c:f>
              <c:numCache>
                <c:formatCode>0.0</c:formatCode>
                <c:ptCount val="6"/>
                <c:pt idx="0">
                  <c:v>3.7431559275744557</c:v>
                </c:pt>
                <c:pt idx="1">
                  <c:v>3.7780551012596608</c:v>
                </c:pt>
                <c:pt idx="2">
                  <c:v>3.6492257681784062</c:v>
                </c:pt>
                <c:pt idx="3">
                  <c:v>3.5873946570267821</c:v>
                </c:pt>
                <c:pt idx="4">
                  <c:v>3.5667135137922181</c:v>
                </c:pt>
                <c:pt idx="5">
                  <c:v>3.6040850537661449</c:v>
                </c:pt>
              </c:numCache>
            </c:numRef>
          </c:val>
        </c:ser>
        <c:ser>
          <c:idx val="5"/>
          <c:order val="5"/>
          <c:tx>
            <c:strRef>
              <c:f>'Graf 46 + 47'!$B$55</c:f>
              <c:strCache>
                <c:ptCount val="1"/>
                <c:pt idx="0">
                  <c:v>Personal income tax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+ 47'!$C$49:$H$49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+ 47'!$C$55:$H$55</c:f>
              <c:numCache>
                <c:formatCode>0.0</c:formatCode>
                <c:ptCount val="6"/>
                <c:pt idx="0">
                  <c:v>3.1319755450069096</c:v>
                </c:pt>
                <c:pt idx="1">
                  <c:v>3.3278523300673277</c:v>
                </c:pt>
                <c:pt idx="2">
                  <c:v>3.3636807281199297</c:v>
                </c:pt>
                <c:pt idx="3">
                  <c:v>3.3986804848294931</c:v>
                </c:pt>
                <c:pt idx="4">
                  <c:v>3.4107366408882838</c:v>
                </c:pt>
                <c:pt idx="5">
                  <c:v>3.4170401764871317</c:v>
                </c:pt>
              </c:numCache>
            </c:numRef>
          </c:val>
        </c:ser>
        <c:ser>
          <c:idx val="6"/>
          <c:order val="6"/>
          <c:tx>
            <c:strRef>
              <c:f>'Graf 46 + 47'!$B$56</c:f>
              <c:strCache>
                <c:ptCount val="1"/>
                <c:pt idx="0">
                  <c:v>Excise duties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46 + 47'!$C$49:$H$49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46 + 47'!$C$56:$H$56</c:f>
              <c:numCache>
                <c:formatCode>0.0</c:formatCode>
                <c:ptCount val="6"/>
                <c:pt idx="0">
                  <c:v>2.679300641611615</c:v>
                </c:pt>
                <c:pt idx="1">
                  <c:v>2.6852009661206564</c:v>
                </c:pt>
                <c:pt idx="2">
                  <c:v>2.6899426949653744</c:v>
                </c:pt>
                <c:pt idx="3">
                  <c:v>2.6167877248156151</c:v>
                </c:pt>
                <c:pt idx="4">
                  <c:v>2.561722289621259</c:v>
                </c:pt>
                <c:pt idx="5">
                  <c:v>2.4821602759071277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746696"/>
        <c:axId val="662747088"/>
      </c:barChart>
      <c:catAx>
        <c:axId val="66274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2747088"/>
        <c:crosses val="autoZero"/>
        <c:auto val="1"/>
        <c:lblAlgn val="ctr"/>
        <c:lblOffset val="100"/>
        <c:noMultiLvlLbl val="0"/>
      </c:catAx>
      <c:valAx>
        <c:axId val="6627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274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255905511811"/>
          <c:y val="5.0925925925925923E-2"/>
          <c:w val="0.85341885389326333"/>
          <c:h val="0.7774380285797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46 + 47'!$J$22</c:f>
              <c:strCache>
                <c:ptCount val="1"/>
                <c:pt idx="0">
                  <c:v>menej škodlivé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46 + 47'!$K$21:$N$21</c:f>
              <c:strCache>
                <c:ptCount val="4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</c:strCache>
            </c:strRef>
          </c:cat>
          <c:val>
            <c:numRef>
              <c:f>'Graf 46 + 47'!$K$22:$N$22</c:f>
              <c:numCache>
                <c:formatCode>0.0%</c:formatCode>
                <c:ptCount val="4"/>
                <c:pt idx="0">
                  <c:v>0.37113639819231159</c:v>
                </c:pt>
                <c:pt idx="1">
                  <c:v>0.40156326331216413</c:v>
                </c:pt>
                <c:pt idx="2">
                  <c:v>0.48883155349145457</c:v>
                </c:pt>
                <c:pt idx="3">
                  <c:v>0.34445800935282911</c:v>
                </c:pt>
              </c:numCache>
            </c:numRef>
          </c:val>
        </c:ser>
        <c:ser>
          <c:idx val="1"/>
          <c:order val="1"/>
          <c:tx>
            <c:strRef>
              <c:f>'Graf 46 + 47'!$J$23</c:f>
              <c:strCache>
                <c:ptCount val="1"/>
                <c:pt idx="0">
                  <c:v>viac škodlivé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'Graf 46 + 47'!$K$21:$N$21</c:f>
              <c:strCache>
                <c:ptCount val="4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</c:strCache>
            </c:strRef>
          </c:cat>
          <c:val>
            <c:numRef>
              <c:f>'Graf 46 + 47'!$K$23:$N$23</c:f>
              <c:numCache>
                <c:formatCode>0.0%</c:formatCode>
                <c:ptCount val="4"/>
                <c:pt idx="0">
                  <c:v>0.62886360180768841</c:v>
                </c:pt>
                <c:pt idx="1">
                  <c:v>0.59843673668783581</c:v>
                </c:pt>
                <c:pt idx="2">
                  <c:v>0.51116844650854543</c:v>
                </c:pt>
                <c:pt idx="3">
                  <c:v>0.65554199064717089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747872"/>
        <c:axId val="662748264"/>
      </c:barChart>
      <c:catAx>
        <c:axId val="66274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2748264"/>
        <c:crosses val="autoZero"/>
        <c:auto val="1"/>
        <c:lblAlgn val="ctr"/>
        <c:lblOffset val="100"/>
        <c:noMultiLvlLbl val="0"/>
      </c:catAx>
      <c:valAx>
        <c:axId val="662748264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274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255905511811"/>
          <c:y val="5.0925925925925923E-2"/>
          <c:w val="0.85341885389326333"/>
          <c:h val="0.7774380285797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46 + 47'!$J$44</c:f>
              <c:strCache>
                <c:ptCount val="1"/>
                <c:pt idx="0">
                  <c:v>less distorting taxes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46 + 47'!$K$43:$N$43</c:f>
              <c:strCache>
                <c:ptCount val="4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</c:strCache>
            </c:strRef>
          </c:cat>
          <c:val>
            <c:numRef>
              <c:f>'Graf 46 + 47'!$K$44:$N$44</c:f>
              <c:numCache>
                <c:formatCode>0.0%</c:formatCode>
                <c:ptCount val="4"/>
                <c:pt idx="0">
                  <c:v>0.37113639819231159</c:v>
                </c:pt>
                <c:pt idx="1">
                  <c:v>0.40156326331216413</c:v>
                </c:pt>
                <c:pt idx="2">
                  <c:v>0.48883155349145457</c:v>
                </c:pt>
                <c:pt idx="3">
                  <c:v>0.34445800935282911</c:v>
                </c:pt>
              </c:numCache>
            </c:numRef>
          </c:val>
        </c:ser>
        <c:ser>
          <c:idx val="1"/>
          <c:order val="1"/>
          <c:tx>
            <c:strRef>
              <c:f>'Graf 46 + 47'!$J$45</c:f>
              <c:strCache>
                <c:ptCount val="1"/>
                <c:pt idx="0">
                  <c:v>more distorting taxes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'Graf 46 + 47'!$K$43:$N$43</c:f>
              <c:strCache>
                <c:ptCount val="4"/>
                <c:pt idx="0">
                  <c:v>CZ</c:v>
                </c:pt>
                <c:pt idx="1">
                  <c:v>PL</c:v>
                </c:pt>
                <c:pt idx="2">
                  <c:v>HU</c:v>
                </c:pt>
                <c:pt idx="3">
                  <c:v>SR</c:v>
                </c:pt>
              </c:strCache>
            </c:strRef>
          </c:cat>
          <c:val>
            <c:numRef>
              <c:f>'Graf 46 + 47'!$K$45:$N$45</c:f>
              <c:numCache>
                <c:formatCode>0.0%</c:formatCode>
                <c:ptCount val="4"/>
                <c:pt idx="0">
                  <c:v>0.62886360180768841</c:v>
                </c:pt>
                <c:pt idx="1">
                  <c:v>0.59843673668783581</c:v>
                </c:pt>
                <c:pt idx="2">
                  <c:v>0.51116844650854543</c:v>
                </c:pt>
                <c:pt idx="3">
                  <c:v>0.65554199064717089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749048"/>
        <c:axId val="662749440"/>
      </c:barChart>
      <c:catAx>
        <c:axId val="66274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2749440"/>
        <c:crosses val="autoZero"/>
        <c:auto val="1"/>
        <c:lblAlgn val="ctr"/>
        <c:lblOffset val="100"/>
        <c:noMultiLvlLbl val="0"/>
      </c:catAx>
      <c:valAx>
        <c:axId val="662749440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274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5455173366487E-2"/>
          <c:y val="5.0925925925925923E-2"/>
          <c:w val="0.90699031042172362"/>
          <c:h val="0.77581984543598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48 + 49'!$I$21</c:f>
              <c:strCache>
                <c:ptCount val="1"/>
                <c:pt idx="0">
                  <c:v>Daň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'Graf 48 + 49'!$G$22:$H$29</c:f>
              <c:multiLvlStrCache>
                <c:ptCount val="8"/>
                <c:lvl>
                  <c:pt idx="0">
                    <c:v>EU28</c:v>
                  </c:pt>
                  <c:pt idx="1">
                    <c:v>V4 bez SR</c:v>
                  </c:pt>
                  <c:pt idx="2">
                    <c:v>SK_16</c:v>
                  </c:pt>
                  <c:pt idx="3">
                    <c:v>SK_17</c:v>
                  </c:pt>
                  <c:pt idx="4">
                    <c:v>EU28</c:v>
                  </c:pt>
                  <c:pt idx="5">
                    <c:v>V4 bez SR</c:v>
                  </c:pt>
                  <c:pt idx="6">
                    <c:v>SK_16</c:v>
                  </c:pt>
                  <c:pt idx="7">
                    <c:v>SK_17</c:v>
                  </c:pt>
                </c:lvl>
                <c:lvl>
                  <c:pt idx="0">
                    <c:v>100% priemernej mzdy</c:v>
                  </c:pt>
                  <c:pt idx="4">
                    <c:v>50% priemernej mzdy</c:v>
                  </c:pt>
                </c:lvl>
              </c:multiLvlStrCache>
            </c:multiLvlStrRef>
          </c:cat>
          <c:val>
            <c:numRef>
              <c:f>'Graf 48 + 49'!$I$22:$I$29</c:f>
              <c:numCache>
                <c:formatCode>_-* #\ ##0.0\ _€_-;\-* #\ ##0.0\ _€_-;_-* "-"??\ _€_-;_-@_-</c:formatCode>
                <c:ptCount val="8"/>
                <c:pt idx="0">
                  <c:v>13.174444881481479</c:v>
                </c:pt>
                <c:pt idx="1">
                  <c:v>8.8832903400000003</c:v>
                </c:pt>
                <c:pt idx="2">
                  <c:v>7.2755705832628896</c:v>
                </c:pt>
                <c:pt idx="3">
                  <c:v>7.4418397216045413</c:v>
                </c:pt>
                <c:pt idx="4">
                  <c:v>6.8500973459259251</c:v>
                </c:pt>
                <c:pt idx="5">
                  <c:v>6.0915119100000004</c:v>
                </c:pt>
                <c:pt idx="6">
                  <c:v>2.7686942718184282</c:v>
                </c:pt>
                <c:pt idx="7">
                  <c:v>3.0445354234738859</c:v>
                </c:pt>
              </c:numCache>
            </c:numRef>
          </c:val>
        </c:ser>
        <c:ser>
          <c:idx val="1"/>
          <c:order val="1"/>
          <c:tx>
            <c:strRef>
              <c:f>'Graf 48 + 49'!$J$21</c:f>
              <c:strCache>
                <c:ptCount val="1"/>
                <c:pt idx="0">
                  <c:v>Odvody zamestnanca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 48 + 49'!$G$22:$H$29</c:f>
              <c:multiLvlStrCache>
                <c:ptCount val="8"/>
                <c:lvl>
                  <c:pt idx="0">
                    <c:v>EU28</c:v>
                  </c:pt>
                  <c:pt idx="1">
                    <c:v>V4 bez SR</c:v>
                  </c:pt>
                  <c:pt idx="2">
                    <c:v>SK_16</c:v>
                  </c:pt>
                  <c:pt idx="3">
                    <c:v>SK_17</c:v>
                  </c:pt>
                  <c:pt idx="4">
                    <c:v>EU28</c:v>
                  </c:pt>
                  <c:pt idx="5">
                    <c:v>V4 bez SR</c:v>
                  </c:pt>
                  <c:pt idx="6">
                    <c:v>SK_16</c:v>
                  </c:pt>
                  <c:pt idx="7">
                    <c:v>SK_17</c:v>
                  </c:pt>
                </c:lvl>
                <c:lvl>
                  <c:pt idx="0">
                    <c:v>100% priemernej mzdy</c:v>
                  </c:pt>
                  <c:pt idx="4">
                    <c:v>50% priemernej mzdy</c:v>
                  </c:pt>
                </c:lvl>
              </c:multiLvlStrCache>
            </c:multiLvlStrRef>
          </c:cat>
          <c:val>
            <c:numRef>
              <c:f>'Graf 48 + 49'!$J$22:$J$29</c:f>
              <c:numCache>
                <c:formatCode>_-* #\ ##0.0\ _€_-;\-* #\ ##0.0\ _€_-;_-* "-"??\ _€_-;_-@_-</c:formatCode>
                <c:ptCount val="8"/>
                <c:pt idx="0">
                  <c:v>9.6629024177777776</c:v>
                </c:pt>
                <c:pt idx="1">
                  <c:v>12.623450253333333</c:v>
                </c:pt>
                <c:pt idx="2">
                  <c:v>9.9112426035502956</c:v>
                </c:pt>
                <c:pt idx="3">
                  <c:v>9.9112426035502956</c:v>
                </c:pt>
                <c:pt idx="4">
                  <c:v>9.2871498459259243</c:v>
                </c:pt>
                <c:pt idx="5">
                  <c:v>12.62345036</c:v>
                </c:pt>
                <c:pt idx="6">
                  <c:v>8.742569575790327</c:v>
                </c:pt>
                <c:pt idx="7">
                  <c:v>8.9456589388517216</c:v>
                </c:pt>
              </c:numCache>
            </c:numRef>
          </c:val>
        </c:ser>
        <c:ser>
          <c:idx val="2"/>
          <c:order val="2"/>
          <c:tx>
            <c:strRef>
              <c:f>'Graf 48 + 49'!$K$21</c:f>
              <c:strCache>
                <c:ptCount val="1"/>
                <c:pt idx="0">
                  <c:v>Odvody zamestnávateľa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'Graf 48 + 49'!$G$22:$H$29</c:f>
              <c:multiLvlStrCache>
                <c:ptCount val="8"/>
                <c:lvl>
                  <c:pt idx="0">
                    <c:v>EU28</c:v>
                  </c:pt>
                  <c:pt idx="1">
                    <c:v>V4 bez SR</c:v>
                  </c:pt>
                  <c:pt idx="2">
                    <c:v>SK_16</c:v>
                  </c:pt>
                  <c:pt idx="3">
                    <c:v>SK_17</c:v>
                  </c:pt>
                  <c:pt idx="4">
                    <c:v>EU28</c:v>
                  </c:pt>
                  <c:pt idx="5">
                    <c:v>V4 bez SR</c:v>
                  </c:pt>
                  <c:pt idx="6">
                    <c:v>SK_16</c:v>
                  </c:pt>
                  <c:pt idx="7">
                    <c:v>SK_17</c:v>
                  </c:pt>
                </c:lvl>
                <c:lvl>
                  <c:pt idx="0">
                    <c:v>100% priemernej mzdy</c:v>
                  </c:pt>
                  <c:pt idx="4">
                    <c:v>50% priemernej mzdy</c:v>
                  </c:pt>
                </c:lvl>
              </c:multiLvlStrCache>
            </c:multiLvlStrRef>
          </c:cat>
          <c:val>
            <c:numRef>
              <c:f>'Graf 48 + 49'!$K$22:$K$29</c:f>
              <c:numCache>
                <c:formatCode>_-* #\ ##0.0\ _€_-;\-* #\ ##0.0\ _€_-;_-* "-"??\ _€_-;_-@_-</c:formatCode>
                <c:ptCount val="8"/>
                <c:pt idx="0">
                  <c:v>17.823495046296294</c:v>
                </c:pt>
                <c:pt idx="1">
                  <c:v>20.64028592</c:v>
                </c:pt>
                <c:pt idx="2">
                  <c:v>26.035502958579883</c:v>
                </c:pt>
                <c:pt idx="3">
                  <c:v>26.035502958579883</c:v>
                </c:pt>
                <c:pt idx="4">
                  <c:v>16.876104707407411</c:v>
                </c:pt>
                <c:pt idx="5">
                  <c:v>20.640281516666665</c:v>
                </c:pt>
                <c:pt idx="6">
                  <c:v>23.162658740880843</c:v>
                </c:pt>
                <c:pt idx="7">
                  <c:v>23.661895129920644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750616"/>
        <c:axId val="662751008"/>
      </c:barChart>
      <c:catAx>
        <c:axId val="66275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662751008"/>
        <c:crosses val="autoZero"/>
        <c:auto val="1"/>
        <c:lblAlgn val="ctr"/>
        <c:lblOffset val="100"/>
        <c:noMultiLvlLbl val="0"/>
      </c:catAx>
      <c:valAx>
        <c:axId val="6627510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662750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073152665732725"/>
          <c:y val="5.7012859426091293E-2"/>
          <c:w val="0.56535944761607126"/>
          <c:h val="6.2603475378585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5455173366487E-2"/>
          <c:y val="5.0925925925925923E-2"/>
          <c:w val="0.90699031042172362"/>
          <c:h val="0.77581984543598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48 + 49'!$I$50</c:f>
              <c:strCache>
                <c:ptCount val="1"/>
                <c:pt idx="0">
                  <c:v>Tax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'Graf 48 + 49'!$G$51:$H$58</c:f>
              <c:multiLvlStrCache>
                <c:ptCount val="8"/>
                <c:lvl>
                  <c:pt idx="0">
                    <c:v>EU28</c:v>
                  </c:pt>
                  <c:pt idx="1">
                    <c:v>V4 without SK</c:v>
                  </c:pt>
                  <c:pt idx="2">
                    <c:v>SK_16</c:v>
                  </c:pt>
                  <c:pt idx="3">
                    <c:v>SK_17</c:v>
                  </c:pt>
                  <c:pt idx="4">
                    <c:v>EU28</c:v>
                  </c:pt>
                  <c:pt idx="5">
                    <c:v>V4 without SK</c:v>
                  </c:pt>
                  <c:pt idx="6">
                    <c:v>SK_16</c:v>
                  </c:pt>
                  <c:pt idx="7">
                    <c:v>SK_17</c:v>
                  </c:pt>
                </c:lvl>
                <c:lvl>
                  <c:pt idx="0">
                    <c:v>100% of average wage</c:v>
                  </c:pt>
                  <c:pt idx="4">
                    <c:v>50% of average wage</c:v>
                  </c:pt>
                </c:lvl>
              </c:multiLvlStrCache>
            </c:multiLvlStrRef>
          </c:cat>
          <c:val>
            <c:numRef>
              <c:f>'Graf 48 + 49'!$I$51:$I$58</c:f>
              <c:numCache>
                <c:formatCode>_-* #\ ##0.0\ _€_-;\-* #\ ##0.0\ _€_-;_-* "-"??\ _€_-;_-@_-</c:formatCode>
                <c:ptCount val="8"/>
                <c:pt idx="0">
                  <c:v>13.174444881481479</c:v>
                </c:pt>
                <c:pt idx="1">
                  <c:v>8.8832903400000003</c:v>
                </c:pt>
                <c:pt idx="2">
                  <c:v>7.2755705832628896</c:v>
                </c:pt>
                <c:pt idx="3">
                  <c:v>7.4418397216045413</c:v>
                </c:pt>
                <c:pt idx="4">
                  <c:v>6.8500973459259251</c:v>
                </c:pt>
                <c:pt idx="5">
                  <c:v>6.0915119100000004</c:v>
                </c:pt>
                <c:pt idx="6">
                  <c:v>2.7686942718184282</c:v>
                </c:pt>
                <c:pt idx="7">
                  <c:v>3.0445354234738859</c:v>
                </c:pt>
              </c:numCache>
            </c:numRef>
          </c:val>
        </c:ser>
        <c:ser>
          <c:idx val="1"/>
          <c:order val="1"/>
          <c:tx>
            <c:strRef>
              <c:f>'Graf 48 + 49'!$J$50</c:f>
              <c:strCache>
                <c:ptCount val="1"/>
                <c:pt idx="0">
                  <c:v>Contributions of employee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 48 + 49'!$G$51:$H$58</c:f>
              <c:multiLvlStrCache>
                <c:ptCount val="8"/>
                <c:lvl>
                  <c:pt idx="0">
                    <c:v>EU28</c:v>
                  </c:pt>
                  <c:pt idx="1">
                    <c:v>V4 without SK</c:v>
                  </c:pt>
                  <c:pt idx="2">
                    <c:v>SK_16</c:v>
                  </c:pt>
                  <c:pt idx="3">
                    <c:v>SK_17</c:v>
                  </c:pt>
                  <c:pt idx="4">
                    <c:v>EU28</c:v>
                  </c:pt>
                  <c:pt idx="5">
                    <c:v>V4 without SK</c:v>
                  </c:pt>
                  <c:pt idx="6">
                    <c:v>SK_16</c:v>
                  </c:pt>
                  <c:pt idx="7">
                    <c:v>SK_17</c:v>
                  </c:pt>
                </c:lvl>
                <c:lvl>
                  <c:pt idx="0">
                    <c:v>100% of average wage</c:v>
                  </c:pt>
                  <c:pt idx="4">
                    <c:v>50% of average wage</c:v>
                  </c:pt>
                </c:lvl>
              </c:multiLvlStrCache>
            </c:multiLvlStrRef>
          </c:cat>
          <c:val>
            <c:numRef>
              <c:f>'Graf 48 + 49'!$J$51:$J$58</c:f>
              <c:numCache>
                <c:formatCode>_-* #\ ##0.0\ _€_-;\-* #\ ##0.0\ _€_-;_-* "-"??\ _€_-;_-@_-</c:formatCode>
                <c:ptCount val="8"/>
                <c:pt idx="0">
                  <c:v>9.6629024177777776</c:v>
                </c:pt>
                <c:pt idx="1">
                  <c:v>12.623450253333333</c:v>
                </c:pt>
                <c:pt idx="2">
                  <c:v>9.9112426035502956</c:v>
                </c:pt>
                <c:pt idx="3">
                  <c:v>9.9112426035502956</c:v>
                </c:pt>
                <c:pt idx="4">
                  <c:v>9.2871498459259243</c:v>
                </c:pt>
                <c:pt idx="5">
                  <c:v>12.62345036</c:v>
                </c:pt>
                <c:pt idx="6">
                  <c:v>8.742569575790327</c:v>
                </c:pt>
                <c:pt idx="7">
                  <c:v>8.9456589388517216</c:v>
                </c:pt>
              </c:numCache>
            </c:numRef>
          </c:val>
        </c:ser>
        <c:ser>
          <c:idx val="2"/>
          <c:order val="2"/>
          <c:tx>
            <c:strRef>
              <c:f>'Graf 48 + 49'!$K$50</c:f>
              <c:strCache>
                <c:ptCount val="1"/>
                <c:pt idx="0">
                  <c:v>Contributions of employer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'Graf 48 + 49'!$G$51:$H$58</c:f>
              <c:multiLvlStrCache>
                <c:ptCount val="8"/>
                <c:lvl>
                  <c:pt idx="0">
                    <c:v>EU28</c:v>
                  </c:pt>
                  <c:pt idx="1">
                    <c:v>V4 without SK</c:v>
                  </c:pt>
                  <c:pt idx="2">
                    <c:v>SK_16</c:v>
                  </c:pt>
                  <c:pt idx="3">
                    <c:v>SK_17</c:v>
                  </c:pt>
                  <c:pt idx="4">
                    <c:v>EU28</c:v>
                  </c:pt>
                  <c:pt idx="5">
                    <c:v>V4 without SK</c:v>
                  </c:pt>
                  <c:pt idx="6">
                    <c:v>SK_16</c:v>
                  </c:pt>
                  <c:pt idx="7">
                    <c:v>SK_17</c:v>
                  </c:pt>
                </c:lvl>
                <c:lvl>
                  <c:pt idx="0">
                    <c:v>100% of average wage</c:v>
                  </c:pt>
                  <c:pt idx="4">
                    <c:v>50% of average wage</c:v>
                  </c:pt>
                </c:lvl>
              </c:multiLvlStrCache>
            </c:multiLvlStrRef>
          </c:cat>
          <c:val>
            <c:numRef>
              <c:f>'Graf 48 + 49'!$K$51:$K$58</c:f>
              <c:numCache>
                <c:formatCode>_-* #\ ##0.0\ _€_-;\-* #\ ##0.0\ _€_-;_-* "-"??\ _€_-;_-@_-</c:formatCode>
                <c:ptCount val="8"/>
                <c:pt idx="0">
                  <c:v>17.823495046296294</c:v>
                </c:pt>
                <c:pt idx="1">
                  <c:v>20.64028592</c:v>
                </c:pt>
                <c:pt idx="2">
                  <c:v>26.035502958579883</c:v>
                </c:pt>
                <c:pt idx="3">
                  <c:v>26.035502958579883</c:v>
                </c:pt>
                <c:pt idx="4">
                  <c:v>16.876104707407411</c:v>
                </c:pt>
                <c:pt idx="5">
                  <c:v>20.640281516666665</c:v>
                </c:pt>
                <c:pt idx="6">
                  <c:v>23.162658740880843</c:v>
                </c:pt>
                <c:pt idx="7">
                  <c:v>23.661895129920644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751792"/>
        <c:axId val="662752184"/>
      </c:barChart>
      <c:catAx>
        <c:axId val="66275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662752184"/>
        <c:crosses val="autoZero"/>
        <c:auto val="1"/>
        <c:lblAlgn val="ctr"/>
        <c:lblOffset val="100"/>
        <c:noMultiLvlLbl val="0"/>
      </c:catAx>
      <c:valAx>
        <c:axId val="6627521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66275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073152665732725"/>
          <c:y val="5.7012859426091293E-2"/>
          <c:w val="0.56535944761607126"/>
          <c:h val="6.2603475378585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53849518810149E-2"/>
          <c:y val="5.0925925925925923E-2"/>
          <c:w val="0.89649059492563432"/>
          <c:h val="0.7713604549431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cat>
            <c:strRef>
              <c:f>'Graf 48 + 49'!$B$21:$B$41</c:f>
              <c:strCache>
                <c:ptCount val="21"/>
                <c:pt idx="0">
                  <c:v>IR</c:v>
                </c:pt>
                <c:pt idx="1">
                  <c:v>NL</c:v>
                </c:pt>
                <c:pt idx="2">
                  <c:v>FR</c:v>
                </c:pt>
                <c:pt idx="3">
                  <c:v>GB</c:v>
                </c:pt>
                <c:pt idx="4">
                  <c:v>IT</c:v>
                </c:pt>
                <c:pt idx="5">
                  <c:v>PT</c:v>
                </c:pt>
                <c:pt idx="6">
                  <c:v>AT</c:v>
                </c:pt>
                <c:pt idx="7">
                  <c:v>SE</c:v>
                </c:pt>
                <c:pt idx="8">
                  <c:v>BE</c:v>
                </c:pt>
                <c:pt idx="9">
                  <c:v>LU</c:v>
                </c:pt>
                <c:pt idx="10">
                  <c:v>FI</c:v>
                </c:pt>
                <c:pt idx="11">
                  <c:v>ES</c:v>
                </c:pt>
                <c:pt idx="12">
                  <c:v>SI</c:v>
                </c:pt>
                <c:pt idx="13">
                  <c:v>GR</c:v>
                </c:pt>
                <c:pt idx="14">
                  <c:v>IS</c:v>
                </c:pt>
                <c:pt idx="15">
                  <c:v>PL</c:v>
                </c:pt>
                <c:pt idx="16">
                  <c:v>SK_2016</c:v>
                </c:pt>
                <c:pt idx="17">
                  <c:v>CZ</c:v>
                </c:pt>
                <c:pt idx="18">
                  <c:v>HU</c:v>
                </c:pt>
                <c:pt idx="19">
                  <c:v>SK_2017</c:v>
                </c:pt>
                <c:pt idx="20">
                  <c:v>EE</c:v>
                </c:pt>
              </c:strCache>
            </c:strRef>
          </c:cat>
          <c:val>
            <c:numRef>
              <c:f>'Graf 48 + 49'!$C$21:$C$41</c:f>
              <c:numCache>
                <c:formatCode>0.0</c:formatCode>
                <c:ptCount val="21"/>
                <c:pt idx="0">
                  <c:v>57.1</c:v>
                </c:pt>
                <c:pt idx="1">
                  <c:v>55</c:v>
                </c:pt>
                <c:pt idx="2">
                  <c:v>53.2</c:v>
                </c:pt>
                <c:pt idx="3">
                  <c:v>50.5</c:v>
                </c:pt>
                <c:pt idx="4">
                  <c:v>49.2</c:v>
                </c:pt>
                <c:pt idx="5">
                  <c:v>49.2</c:v>
                </c:pt>
                <c:pt idx="6">
                  <c:v>45.6</c:v>
                </c:pt>
                <c:pt idx="7">
                  <c:v>45.4</c:v>
                </c:pt>
                <c:pt idx="8">
                  <c:v>44.8</c:v>
                </c:pt>
                <c:pt idx="9">
                  <c:v>43.4</c:v>
                </c:pt>
                <c:pt idx="10">
                  <c:v>43.1</c:v>
                </c:pt>
                <c:pt idx="11">
                  <c:v>42.3</c:v>
                </c:pt>
                <c:pt idx="12">
                  <c:v>37.799999999999997</c:v>
                </c:pt>
                <c:pt idx="13">
                  <c:v>36.1</c:v>
                </c:pt>
                <c:pt idx="14">
                  <c:v>36</c:v>
                </c:pt>
                <c:pt idx="15">
                  <c:v>34.4</c:v>
                </c:pt>
                <c:pt idx="16">
                  <c:v>32.9</c:v>
                </c:pt>
                <c:pt idx="17">
                  <c:v>31.2</c:v>
                </c:pt>
                <c:pt idx="18">
                  <c:v>31.2</c:v>
                </c:pt>
                <c:pt idx="19">
                  <c:v>26.53</c:v>
                </c:pt>
                <c:pt idx="20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711056"/>
        <c:axId val="657711448"/>
      </c:barChart>
      <c:lineChart>
        <c:grouping val="standard"/>
        <c:varyColors val="0"/>
        <c:ser>
          <c:idx val="1"/>
          <c:order val="1"/>
          <c:tx>
            <c:strRef>
              <c:f>'Graf 48 + 49'!$B$42</c:f>
              <c:strCache>
                <c:ptCount val="1"/>
                <c:pt idx="0">
                  <c:v>Priemer EU krajín v OECD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48 + 49'!$B$21:$B$41</c:f>
              <c:strCache>
                <c:ptCount val="21"/>
                <c:pt idx="0">
                  <c:v>IR</c:v>
                </c:pt>
                <c:pt idx="1">
                  <c:v>NL</c:v>
                </c:pt>
                <c:pt idx="2">
                  <c:v>FR</c:v>
                </c:pt>
                <c:pt idx="3">
                  <c:v>GB</c:v>
                </c:pt>
                <c:pt idx="4">
                  <c:v>IT</c:v>
                </c:pt>
                <c:pt idx="5">
                  <c:v>PT</c:v>
                </c:pt>
                <c:pt idx="6">
                  <c:v>AT</c:v>
                </c:pt>
                <c:pt idx="7">
                  <c:v>SE</c:v>
                </c:pt>
                <c:pt idx="8">
                  <c:v>BE</c:v>
                </c:pt>
                <c:pt idx="9">
                  <c:v>LU</c:v>
                </c:pt>
                <c:pt idx="10">
                  <c:v>FI</c:v>
                </c:pt>
                <c:pt idx="11">
                  <c:v>ES</c:v>
                </c:pt>
                <c:pt idx="12">
                  <c:v>SI</c:v>
                </c:pt>
                <c:pt idx="13">
                  <c:v>GR</c:v>
                </c:pt>
                <c:pt idx="14">
                  <c:v>IS</c:v>
                </c:pt>
                <c:pt idx="15">
                  <c:v>PL</c:v>
                </c:pt>
                <c:pt idx="16">
                  <c:v>SK_2016</c:v>
                </c:pt>
                <c:pt idx="17">
                  <c:v>CZ</c:v>
                </c:pt>
                <c:pt idx="18">
                  <c:v>HU</c:v>
                </c:pt>
                <c:pt idx="19">
                  <c:v>SK_2017</c:v>
                </c:pt>
                <c:pt idx="20">
                  <c:v>EE</c:v>
                </c:pt>
              </c:strCache>
            </c:strRef>
          </c:cat>
          <c:val>
            <c:numRef>
              <c:f>'Graf 48 + 49'!$D$21:$D$41</c:f>
              <c:numCache>
                <c:formatCode>0.0</c:formatCode>
                <c:ptCount val="21"/>
                <c:pt idx="0">
                  <c:v>41.187142857142852</c:v>
                </c:pt>
                <c:pt idx="1">
                  <c:v>41.187142857142852</c:v>
                </c:pt>
                <c:pt idx="2">
                  <c:v>41.187142857142852</c:v>
                </c:pt>
                <c:pt idx="3">
                  <c:v>41.187142857142852</c:v>
                </c:pt>
                <c:pt idx="4">
                  <c:v>41.187142857142852</c:v>
                </c:pt>
                <c:pt idx="5">
                  <c:v>41.187142857142852</c:v>
                </c:pt>
                <c:pt idx="6">
                  <c:v>41.187142857142852</c:v>
                </c:pt>
                <c:pt idx="7">
                  <c:v>41.187142857142852</c:v>
                </c:pt>
                <c:pt idx="8">
                  <c:v>41.187142857142852</c:v>
                </c:pt>
                <c:pt idx="9">
                  <c:v>41.187142857142852</c:v>
                </c:pt>
                <c:pt idx="10">
                  <c:v>41.187142857142852</c:v>
                </c:pt>
                <c:pt idx="11">
                  <c:v>41.187142857142852</c:v>
                </c:pt>
                <c:pt idx="12">
                  <c:v>41.187142857142852</c:v>
                </c:pt>
                <c:pt idx="13">
                  <c:v>41.187142857142852</c:v>
                </c:pt>
                <c:pt idx="14">
                  <c:v>41.187142857142852</c:v>
                </c:pt>
                <c:pt idx="15">
                  <c:v>41.187142857142852</c:v>
                </c:pt>
                <c:pt idx="16">
                  <c:v>41.187142857142852</c:v>
                </c:pt>
                <c:pt idx="17">
                  <c:v>41.187142857142852</c:v>
                </c:pt>
                <c:pt idx="18">
                  <c:v>41.187142857142852</c:v>
                </c:pt>
                <c:pt idx="19">
                  <c:v>41.187142857142852</c:v>
                </c:pt>
                <c:pt idx="20">
                  <c:v>41.187142857142852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48 + 49'!$B$43</c:f>
              <c:strCache>
                <c:ptCount val="1"/>
                <c:pt idx="0">
                  <c:v>Priemer krajín V4 bez SK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48 + 49'!$B$21:$B$41</c:f>
              <c:strCache>
                <c:ptCount val="21"/>
                <c:pt idx="0">
                  <c:v>IR</c:v>
                </c:pt>
                <c:pt idx="1">
                  <c:v>NL</c:v>
                </c:pt>
                <c:pt idx="2">
                  <c:v>FR</c:v>
                </c:pt>
                <c:pt idx="3">
                  <c:v>GB</c:v>
                </c:pt>
                <c:pt idx="4">
                  <c:v>IT</c:v>
                </c:pt>
                <c:pt idx="5">
                  <c:v>PT</c:v>
                </c:pt>
                <c:pt idx="6">
                  <c:v>AT</c:v>
                </c:pt>
                <c:pt idx="7">
                  <c:v>SE</c:v>
                </c:pt>
                <c:pt idx="8">
                  <c:v>BE</c:v>
                </c:pt>
                <c:pt idx="9">
                  <c:v>LU</c:v>
                </c:pt>
                <c:pt idx="10">
                  <c:v>FI</c:v>
                </c:pt>
                <c:pt idx="11">
                  <c:v>ES</c:v>
                </c:pt>
                <c:pt idx="12">
                  <c:v>SI</c:v>
                </c:pt>
                <c:pt idx="13">
                  <c:v>GR</c:v>
                </c:pt>
                <c:pt idx="14">
                  <c:v>IS</c:v>
                </c:pt>
                <c:pt idx="15">
                  <c:v>PL</c:v>
                </c:pt>
                <c:pt idx="16">
                  <c:v>SK_2016</c:v>
                </c:pt>
                <c:pt idx="17">
                  <c:v>CZ</c:v>
                </c:pt>
                <c:pt idx="18">
                  <c:v>HU</c:v>
                </c:pt>
                <c:pt idx="19">
                  <c:v>SK_2017</c:v>
                </c:pt>
                <c:pt idx="20">
                  <c:v>EE</c:v>
                </c:pt>
              </c:strCache>
            </c:strRef>
          </c:cat>
          <c:val>
            <c:numRef>
              <c:f>'Graf 48 + 49'!$E$21:$E$41</c:f>
              <c:numCache>
                <c:formatCode>0.0</c:formatCode>
                <c:ptCount val="21"/>
                <c:pt idx="0">
                  <c:v>32.266666666666666</c:v>
                </c:pt>
                <c:pt idx="1">
                  <c:v>32.266666666666666</c:v>
                </c:pt>
                <c:pt idx="2">
                  <c:v>32.266666666666666</c:v>
                </c:pt>
                <c:pt idx="3">
                  <c:v>32.266666666666666</c:v>
                </c:pt>
                <c:pt idx="4">
                  <c:v>32.266666666666666</c:v>
                </c:pt>
                <c:pt idx="5">
                  <c:v>32.266666666666666</c:v>
                </c:pt>
                <c:pt idx="6">
                  <c:v>32.266666666666666</c:v>
                </c:pt>
                <c:pt idx="7">
                  <c:v>32.266666666666666</c:v>
                </c:pt>
                <c:pt idx="8">
                  <c:v>32.266666666666666</c:v>
                </c:pt>
                <c:pt idx="9">
                  <c:v>32.266666666666666</c:v>
                </c:pt>
                <c:pt idx="10">
                  <c:v>32.266666666666666</c:v>
                </c:pt>
                <c:pt idx="11">
                  <c:v>32.266666666666666</c:v>
                </c:pt>
                <c:pt idx="12">
                  <c:v>32.266666666666666</c:v>
                </c:pt>
                <c:pt idx="13">
                  <c:v>32.266666666666666</c:v>
                </c:pt>
                <c:pt idx="14">
                  <c:v>32.266666666666666</c:v>
                </c:pt>
                <c:pt idx="15">
                  <c:v>32.266666666666666</c:v>
                </c:pt>
                <c:pt idx="16">
                  <c:v>32.266666666666666</c:v>
                </c:pt>
                <c:pt idx="17">
                  <c:v>32.266666666666666</c:v>
                </c:pt>
                <c:pt idx="18">
                  <c:v>32.266666666666666</c:v>
                </c:pt>
                <c:pt idx="19">
                  <c:v>32.266666666666666</c:v>
                </c:pt>
                <c:pt idx="20">
                  <c:v>32.266666666666666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711056"/>
        <c:axId val="657711448"/>
      </c:lineChart>
      <c:catAx>
        <c:axId val="65771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1448"/>
        <c:crosses val="autoZero"/>
        <c:auto val="1"/>
        <c:lblAlgn val="ctr"/>
        <c:lblOffset val="100"/>
        <c:noMultiLvlLbl val="0"/>
      </c:catAx>
      <c:valAx>
        <c:axId val="657711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5184142607174105"/>
          <c:y val="5.5294609912891327E-2"/>
          <c:w val="0.45605424321959759"/>
          <c:h val="0.125455894100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53849518810149E-2"/>
          <c:y val="5.0925925925925923E-2"/>
          <c:w val="0.89649059492563432"/>
          <c:h val="0.7713604549431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cat>
            <c:strRef>
              <c:f>'Graf 48 + 49'!$B$21:$B$41</c:f>
              <c:strCache>
                <c:ptCount val="21"/>
                <c:pt idx="0">
                  <c:v>IR</c:v>
                </c:pt>
                <c:pt idx="1">
                  <c:v>NL</c:v>
                </c:pt>
                <c:pt idx="2">
                  <c:v>FR</c:v>
                </c:pt>
                <c:pt idx="3">
                  <c:v>GB</c:v>
                </c:pt>
                <c:pt idx="4">
                  <c:v>IT</c:v>
                </c:pt>
                <c:pt idx="5">
                  <c:v>PT</c:v>
                </c:pt>
                <c:pt idx="6">
                  <c:v>AT</c:v>
                </c:pt>
                <c:pt idx="7">
                  <c:v>SE</c:v>
                </c:pt>
                <c:pt idx="8">
                  <c:v>BE</c:v>
                </c:pt>
                <c:pt idx="9">
                  <c:v>LU</c:v>
                </c:pt>
                <c:pt idx="10">
                  <c:v>FI</c:v>
                </c:pt>
                <c:pt idx="11">
                  <c:v>ES</c:v>
                </c:pt>
                <c:pt idx="12">
                  <c:v>SI</c:v>
                </c:pt>
                <c:pt idx="13">
                  <c:v>GR</c:v>
                </c:pt>
                <c:pt idx="14">
                  <c:v>IS</c:v>
                </c:pt>
                <c:pt idx="15">
                  <c:v>PL</c:v>
                </c:pt>
                <c:pt idx="16">
                  <c:v>SK_2016</c:v>
                </c:pt>
                <c:pt idx="17">
                  <c:v>CZ</c:v>
                </c:pt>
                <c:pt idx="18">
                  <c:v>HU</c:v>
                </c:pt>
                <c:pt idx="19">
                  <c:v>SK_2017</c:v>
                </c:pt>
                <c:pt idx="20">
                  <c:v>EE</c:v>
                </c:pt>
              </c:strCache>
            </c:strRef>
          </c:cat>
          <c:val>
            <c:numRef>
              <c:f>'Graf 48 + 49'!$C$21:$C$41</c:f>
              <c:numCache>
                <c:formatCode>0.0</c:formatCode>
                <c:ptCount val="21"/>
                <c:pt idx="0">
                  <c:v>57.1</c:v>
                </c:pt>
                <c:pt idx="1">
                  <c:v>55</c:v>
                </c:pt>
                <c:pt idx="2">
                  <c:v>53.2</c:v>
                </c:pt>
                <c:pt idx="3">
                  <c:v>50.5</c:v>
                </c:pt>
                <c:pt idx="4">
                  <c:v>49.2</c:v>
                </c:pt>
                <c:pt idx="5">
                  <c:v>49.2</c:v>
                </c:pt>
                <c:pt idx="6">
                  <c:v>45.6</c:v>
                </c:pt>
                <c:pt idx="7">
                  <c:v>45.4</c:v>
                </c:pt>
                <c:pt idx="8">
                  <c:v>44.8</c:v>
                </c:pt>
                <c:pt idx="9">
                  <c:v>43.4</c:v>
                </c:pt>
                <c:pt idx="10">
                  <c:v>43.1</c:v>
                </c:pt>
                <c:pt idx="11">
                  <c:v>42.3</c:v>
                </c:pt>
                <c:pt idx="12">
                  <c:v>37.799999999999997</c:v>
                </c:pt>
                <c:pt idx="13">
                  <c:v>36.1</c:v>
                </c:pt>
                <c:pt idx="14">
                  <c:v>36</c:v>
                </c:pt>
                <c:pt idx="15">
                  <c:v>34.4</c:v>
                </c:pt>
                <c:pt idx="16">
                  <c:v>32.9</c:v>
                </c:pt>
                <c:pt idx="17">
                  <c:v>31.2</c:v>
                </c:pt>
                <c:pt idx="18">
                  <c:v>31.2</c:v>
                </c:pt>
                <c:pt idx="19">
                  <c:v>26.53</c:v>
                </c:pt>
                <c:pt idx="20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712232"/>
        <c:axId val="657712624"/>
      </c:barChart>
      <c:lineChart>
        <c:grouping val="standard"/>
        <c:varyColors val="0"/>
        <c:ser>
          <c:idx val="1"/>
          <c:order val="1"/>
          <c:tx>
            <c:strRef>
              <c:f>'Graf 48 + 49'!$B$86</c:f>
              <c:strCache>
                <c:ptCount val="1"/>
                <c:pt idx="0">
                  <c:v>Average of EU countries in OECD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48 + 49'!$B$65:$B$85</c:f>
              <c:strCache>
                <c:ptCount val="21"/>
                <c:pt idx="0">
                  <c:v>IR</c:v>
                </c:pt>
                <c:pt idx="1">
                  <c:v>NL</c:v>
                </c:pt>
                <c:pt idx="2">
                  <c:v>FR</c:v>
                </c:pt>
                <c:pt idx="3">
                  <c:v>GB</c:v>
                </c:pt>
                <c:pt idx="4">
                  <c:v>IT</c:v>
                </c:pt>
                <c:pt idx="5">
                  <c:v>PT</c:v>
                </c:pt>
                <c:pt idx="6">
                  <c:v>AT</c:v>
                </c:pt>
                <c:pt idx="7">
                  <c:v>SE</c:v>
                </c:pt>
                <c:pt idx="8">
                  <c:v>BE</c:v>
                </c:pt>
                <c:pt idx="9">
                  <c:v>LU</c:v>
                </c:pt>
                <c:pt idx="10">
                  <c:v>FI</c:v>
                </c:pt>
                <c:pt idx="11">
                  <c:v>ES</c:v>
                </c:pt>
                <c:pt idx="12">
                  <c:v>SI</c:v>
                </c:pt>
                <c:pt idx="13">
                  <c:v>GR</c:v>
                </c:pt>
                <c:pt idx="14">
                  <c:v>IS</c:v>
                </c:pt>
                <c:pt idx="15">
                  <c:v>PL</c:v>
                </c:pt>
                <c:pt idx="16">
                  <c:v>SK_2016</c:v>
                </c:pt>
                <c:pt idx="17">
                  <c:v>CZ</c:v>
                </c:pt>
                <c:pt idx="18">
                  <c:v>HU</c:v>
                </c:pt>
                <c:pt idx="19">
                  <c:v>SK_2017</c:v>
                </c:pt>
                <c:pt idx="20">
                  <c:v>EE</c:v>
                </c:pt>
              </c:strCache>
            </c:strRef>
          </c:cat>
          <c:val>
            <c:numRef>
              <c:f>'Graf 48 + 49'!$D$21:$D$41</c:f>
              <c:numCache>
                <c:formatCode>0.0</c:formatCode>
                <c:ptCount val="21"/>
                <c:pt idx="0">
                  <c:v>41.187142857142852</c:v>
                </c:pt>
                <c:pt idx="1">
                  <c:v>41.187142857142852</c:v>
                </c:pt>
                <c:pt idx="2">
                  <c:v>41.187142857142852</c:v>
                </c:pt>
                <c:pt idx="3">
                  <c:v>41.187142857142852</c:v>
                </c:pt>
                <c:pt idx="4">
                  <c:v>41.187142857142852</c:v>
                </c:pt>
                <c:pt idx="5">
                  <c:v>41.187142857142852</c:v>
                </c:pt>
                <c:pt idx="6">
                  <c:v>41.187142857142852</c:v>
                </c:pt>
                <c:pt idx="7">
                  <c:v>41.187142857142852</c:v>
                </c:pt>
                <c:pt idx="8">
                  <c:v>41.187142857142852</c:v>
                </c:pt>
                <c:pt idx="9">
                  <c:v>41.187142857142852</c:v>
                </c:pt>
                <c:pt idx="10">
                  <c:v>41.187142857142852</c:v>
                </c:pt>
                <c:pt idx="11">
                  <c:v>41.187142857142852</c:v>
                </c:pt>
                <c:pt idx="12">
                  <c:v>41.187142857142852</c:v>
                </c:pt>
                <c:pt idx="13">
                  <c:v>41.187142857142852</c:v>
                </c:pt>
                <c:pt idx="14">
                  <c:v>41.187142857142852</c:v>
                </c:pt>
                <c:pt idx="15">
                  <c:v>41.187142857142852</c:v>
                </c:pt>
                <c:pt idx="16">
                  <c:v>41.187142857142852</c:v>
                </c:pt>
                <c:pt idx="17">
                  <c:v>41.187142857142852</c:v>
                </c:pt>
                <c:pt idx="18">
                  <c:v>41.187142857142852</c:v>
                </c:pt>
                <c:pt idx="19">
                  <c:v>41.187142857142852</c:v>
                </c:pt>
                <c:pt idx="20">
                  <c:v>41.187142857142852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48 + 49'!$B$87</c:f>
              <c:strCache>
                <c:ptCount val="1"/>
                <c:pt idx="0">
                  <c:v>Average of V4 countries without SK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48 + 49'!$B$65:$B$85</c:f>
              <c:strCache>
                <c:ptCount val="21"/>
                <c:pt idx="0">
                  <c:v>IR</c:v>
                </c:pt>
                <c:pt idx="1">
                  <c:v>NL</c:v>
                </c:pt>
                <c:pt idx="2">
                  <c:v>FR</c:v>
                </c:pt>
                <c:pt idx="3">
                  <c:v>GB</c:v>
                </c:pt>
                <c:pt idx="4">
                  <c:v>IT</c:v>
                </c:pt>
                <c:pt idx="5">
                  <c:v>PT</c:v>
                </c:pt>
                <c:pt idx="6">
                  <c:v>AT</c:v>
                </c:pt>
                <c:pt idx="7">
                  <c:v>SE</c:v>
                </c:pt>
                <c:pt idx="8">
                  <c:v>BE</c:v>
                </c:pt>
                <c:pt idx="9">
                  <c:v>LU</c:v>
                </c:pt>
                <c:pt idx="10">
                  <c:v>FI</c:v>
                </c:pt>
                <c:pt idx="11">
                  <c:v>ES</c:v>
                </c:pt>
                <c:pt idx="12">
                  <c:v>SI</c:v>
                </c:pt>
                <c:pt idx="13">
                  <c:v>GR</c:v>
                </c:pt>
                <c:pt idx="14">
                  <c:v>IS</c:v>
                </c:pt>
                <c:pt idx="15">
                  <c:v>PL</c:v>
                </c:pt>
                <c:pt idx="16">
                  <c:v>SK_2016</c:v>
                </c:pt>
                <c:pt idx="17">
                  <c:v>CZ</c:v>
                </c:pt>
                <c:pt idx="18">
                  <c:v>HU</c:v>
                </c:pt>
                <c:pt idx="19">
                  <c:v>SK_2017</c:v>
                </c:pt>
                <c:pt idx="20">
                  <c:v>EE</c:v>
                </c:pt>
              </c:strCache>
            </c:strRef>
          </c:cat>
          <c:val>
            <c:numRef>
              <c:f>'Graf 48 + 49'!$E$21:$E$41</c:f>
              <c:numCache>
                <c:formatCode>0.0</c:formatCode>
                <c:ptCount val="21"/>
                <c:pt idx="0">
                  <c:v>32.266666666666666</c:v>
                </c:pt>
                <c:pt idx="1">
                  <c:v>32.266666666666666</c:v>
                </c:pt>
                <c:pt idx="2">
                  <c:v>32.266666666666666</c:v>
                </c:pt>
                <c:pt idx="3">
                  <c:v>32.266666666666666</c:v>
                </c:pt>
                <c:pt idx="4">
                  <c:v>32.266666666666666</c:v>
                </c:pt>
                <c:pt idx="5">
                  <c:v>32.266666666666666</c:v>
                </c:pt>
                <c:pt idx="6">
                  <c:v>32.266666666666666</c:v>
                </c:pt>
                <c:pt idx="7">
                  <c:v>32.266666666666666</c:v>
                </c:pt>
                <c:pt idx="8">
                  <c:v>32.266666666666666</c:v>
                </c:pt>
                <c:pt idx="9">
                  <c:v>32.266666666666666</c:v>
                </c:pt>
                <c:pt idx="10">
                  <c:v>32.266666666666666</c:v>
                </c:pt>
                <c:pt idx="11">
                  <c:v>32.266666666666666</c:v>
                </c:pt>
                <c:pt idx="12">
                  <c:v>32.266666666666666</c:v>
                </c:pt>
                <c:pt idx="13">
                  <c:v>32.266666666666666</c:v>
                </c:pt>
                <c:pt idx="14">
                  <c:v>32.266666666666666</c:v>
                </c:pt>
                <c:pt idx="15">
                  <c:v>32.266666666666666</c:v>
                </c:pt>
                <c:pt idx="16">
                  <c:v>32.266666666666666</c:v>
                </c:pt>
                <c:pt idx="17">
                  <c:v>32.266666666666666</c:v>
                </c:pt>
                <c:pt idx="18">
                  <c:v>32.266666666666666</c:v>
                </c:pt>
                <c:pt idx="19">
                  <c:v>32.266666666666666</c:v>
                </c:pt>
                <c:pt idx="20">
                  <c:v>32.266666666666666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712232"/>
        <c:axId val="657712624"/>
      </c:lineChart>
      <c:catAx>
        <c:axId val="65771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2624"/>
        <c:crosses val="autoZero"/>
        <c:auto val="1"/>
        <c:lblAlgn val="ctr"/>
        <c:lblOffset val="100"/>
        <c:noMultiLvlLbl val="0"/>
      </c:catAx>
      <c:valAx>
        <c:axId val="657712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2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5184142607174105"/>
          <c:y val="5.5294609912891327E-2"/>
          <c:w val="0.45605424321959759"/>
          <c:h val="0.125455894100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83465332697746"/>
          <c:y val="7.6488980206485549E-2"/>
          <c:w val="0.76233069334604509"/>
          <c:h val="0.77930936343800405"/>
        </c:manualLayout>
      </c:layout>
      <c:lineChart>
        <c:grouping val="standard"/>
        <c:varyColors val="0"/>
        <c:ser>
          <c:idx val="0"/>
          <c:order val="0"/>
          <c:tx>
            <c:v>Ropa Brent (USD/Barel) (lo)</c:v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3+4'!$H$3:$H$418</c:f>
              <c:numCache>
                <c:formatCode>m/d/yyyy</c:formatCode>
                <c:ptCount val="416"/>
                <c:pt idx="0">
                  <c:v>42825</c:v>
                </c:pt>
                <c:pt idx="1">
                  <c:v>42824</c:v>
                </c:pt>
                <c:pt idx="2">
                  <c:v>42823</c:v>
                </c:pt>
                <c:pt idx="3">
                  <c:v>42822</c:v>
                </c:pt>
                <c:pt idx="4">
                  <c:v>42821</c:v>
                </c:pt>
                <c:pt idx="5">
                  <c:v>42818</c:v>
                </c:pt>
                <c:pt idx="6">
                  <c:v>42817</c:v>
                </c:pt>
                <c:pt idx="7">
                  <c:v>42816</c:v>
                </c:pt>
                <c:pt idx="8">
                  <c:v>42815</c:v>
                </c:pt>
                <c:pt idx="9">
                  <c:v>42814</c:v>
                </c:pt>
                <c:pt idx="10">
                  <c:v>42811</c:v>
                </c:pt>
                <c:pt idx="11">
                  <c:v>42810</c:v>
                </c:pt>
                <c:pt idx="12">
                  <c:v>42809</c:v>
                </c:pt>
                <c:pt idx="13">
                  <c:v>42808</c:v>
                </c:pt>
                <c:pt idx="14">
                  <c:v>42807</c:v>
                </c:pt>
                <c:pt idx="15">
                  <c:v>42804</c:v>
                </c:pt>
                <c:pt idx="16">
                  <c:v>42803</c:v>
                </c:pt>
                <c:pt idx="17">
                  <c:v>42802</c:v>
                </c:pt>
                <c:pt idx="18">
                  <c:v>42801</c:v>
                </c:pt>
                <c:pt idx="19">
                  <c:v>42800</c:v>
                </c:pt>
                <c:pt idx="20">
                  <c:v>42797</c:v>
                </c:pt>
                <c:pt idx="21">
                  <c:v>42796</c:v>
                </c:pt>
                <c:pt idx="22">
                  <c:v>42795</c:v>
                </c:pt>
                <c:pt idx="23">
                  <c:v>42794</c:v>
                </c:pt>
                <c:pt idx="24">
                  <c:v>42793</c:v>
                </c:pt>
                <c:pt idx="25">
                  <c:v>42790</c:v>
                </c:pt>
                <c:pt idx="26">
                  <c:v>42789</c:v>
                </c:pt>
                <c:pt idx="27">
                  <c:v>42788</c:v>
                </c:pt>
                <c:pt idx="28">
                  <c:v>42787</c:v>
                </c:pt>
                <c:pt idx="29">
                  <c:v>42783</c:v>
                </c:pt>
                <c:pt idx="30">
                  <c:v>42782</c:v>
                </c:pt>
                <c:pt idx="31">
                  <c:v>42781</c:v>
                </c:pt>
                <c:pt idx="32">
                  <c:v>42780</c:v>
                </c:pt>
                <c:pt idx="33">
                  <c:v>42779</c:v>
                </c:pt>
                <c:pt idx="34">
                  <c:v>42776</c:v>
                </c:pt>
                <c:pt idx="35">
                  <c:v>42775</c:v>
                </c:pt>
                <c:pt idx="36">
                  <c:v>42774</c:v>
                </c:pt>
                <c:pt idx="37">
                  <c:v>42773</c:v>
                </c:pt>
                <c:pt idx="38">
                  <c:v>42772</c:v>
                </c:pt>
                <c:pt idx="39">
                  <c:v>42769</c:v>
                </c:pt>
                <c:pt idx="40">
                  <c:v>42768</c:v>
                </c:pt>
                <c:pt idx="41">
                  <c:v>42767</c:v>
                </c:pt>
                <c:pt idx="42">
                  <c:v>42766</c:v>
                </c:pt>
                <c:pt idx="43">
                  <c:v>42765</c:v>
                </c:pt>
                <c:pt idx="44">
                  <c:v>42762</c:v>
                </c:pt>
                <c:pt idx="45">
                  <c:v>42761</c:v>
                </c:pt>
                <c:pt idx="46">
                  <c:v>42760</c:v>
                </c:pt>
                <c:pt idx="47">
                  <c:v>42759</c:v>
                </c:pt>
                <c:pt idx="48">
                  <c:v>42758</c:v>
                </c:pt>
                <c:pt idx="49">
                  <c:v>42755</c:v>
                </c:pt>
                <c:pt idx="50">
                  <c:v>42754</c:v>
                </c:pt>
                <c:pt idx="51">
                  <c:v>42753</c:v>
                </c:pt>
                <c:pt idx="52">
                  <c:v>42752</c:v>
                </c:pt>
                <c:pt idx="53">
                  <c:v>42748</c:v>
                </c:pt>
                <c:pt idx="54">
                  <c:v>42747</c:v>
                </c:pt>
                <c:pt idx="55">
                  <c:v>42746</c:v>
                </c:pt>
                <c:pt idx="56">
                  <c:v>42745</c:v>
                </c:pt>
                <c:pt idx="57">
                  <c:v>42744</c:v>
                </c:pt>
                <c:pt idx="58">
                  <c:v>42741</c:v>
                </c:pt>
                <c:pt idx="59">
                  <c:v>42740</c:v>
                </c:pt>
                <c:pt idx="60">
                  <c:v>42739</c:v>
                </c:pt>
                <c:pt idx="61">
                  <c:v>42738</c:v>
                </c:pt>
                <c:pt idx="62">
                  <c:v>42734</c:v>
                </c:pt>
                <c:pt idx="63">
                  <c:v>42733</c:v>
                </c:pt>
                <c:pt idx="64">
                  <c:v>42732</c:v>
                </c:pt>
                <c:pt idx="65">
                  <c:v>42731</c:v>
                </c:pt>
                <c:pt idx="66">
                  <c:v>42727</c:v>
                </c:pt>
                <c:pt idx="67">
                  <c:v>42726</c:v>
                </c:pt>
                <c:pt idx="68">
                  <c:v>42725</c:v>
                </c:pt>
                <c:pt idx="69">
                  <c:v>42724</c:v>
                </c:pt>
                <c:pt idx="70">
                  <c:v>42723</c:v>
                </c:pt>
                <c:pt idx="71">
                  <c:v>42720</c:v>
                </c:pt>
                <c:pt idx="72">
                  <c:v>42719</c:v>
                </c:pt>
                <c:pt idx="73">
                  <c:v>42718</c:v>
                </c:pt>
                <c:pt idx="74">
                  <c:v>42717</c:v>
                </c:pt>
                <c:pt idx="75">
                  <c:v>42716</c:v>
                </c:pt>
                <c:pt idx="76">
                  <c:v>42713</c:v>
                </c:pt>
                <c:pt idx="77">
                  <c:v>42712</c:v>
                </c:pt>
                <c:pt idx="78">
                  <c:v>42711</c:v>
                </c:pt>
                <c:pt idx="79">
                  <c:v>42710</c:v>
                </c:pt>
                <c:pt idx="80">
                  <c:v>42709</c:v>
                </c:pt>
                <c:pt idx="81">
                  <c:v>42706</c:v>
                </c:pt>
                <c:pt idx="82">
                  <c:v>42705</c:v>
                </c:pt>
                <c:pt idx="83">
                  <c:v>42704</c:v>
                </c:pt>
                <c:pt idx="84">
                  <c:v>42703</c:v>
                </c:pt>
                <c:pt idx="85">
                  <c:v>42702</c:v>
                </c:pt>
                <c:pt idx="86">
                  <c:v>42699</c:v>
                </c:pt>
                <c:pt idx="87">
                  <c:v>42697</c:v>
                </c:pt>
                <c:pt idx="88">
                  <c:v>42696</c:v>
                </c:pt>
                <c:pt idx="89">
                  <c:v>42695</c:v>
                </c:pt>
                <c:pt idx="90">
                  <c:v>42692</c:v>
                </c:pt>
                <c:pt idx="91">
                  <c:v>42691</c:v>
                </c:pt>
                <c:pt idx="92">
                  <c:v>42690</c:v>
                </c:pt>
                <c:pt idx="93">
                  <c:v>42689</c:v>
                </c:pt>
                <c:pt idx="94">
                  <c:v>42688</c:v>
                </c:pt>
                <c:pt idx="95">
                  <c:v>42685</c:v>
                </c:pt>
                <c:pt idx="96">
                  <c:v>42684</c:v>
                </c:pt>
                <c:pt idx="97">
                  <c:v>42683</c:v>
                </c:pt>
                <c:pt idx="98">
                  <c:v>42682</c:v>
                </c:pt>
                <c:pt idx="99">
                  <c:v>42681</c:v>
                </c:pt>
                <c:pt idx="100">
                  <c:v>42678</c:v>
                </c:pt>
                <c:pt idx="101">
                  <c:v>42677</c:v>
                </c:pt>
                <c:pt idx="102">
                  <c:v>42676</c:v>
                </c:pt>
                <c:pt idx="103">
                  <c:v>42675</c:v>
                </c:pt>
                <c:pt idx="104">
                  <c:v>42674</c:v>
                </c:pt>
                <c:pt idx="105">
                  <c:v>42671</c:v>
                </c:pt>
                <c:pt idx="106">
                  <c:v>42670</c:v>
                </c:pt>
                <c:pt idx="107">
                  <c:v>42669</c:v>
                </c:pt>
                <c:pt idx="108">
                  <c:v>42668</c:v>
                </c:pt>
                <c:pt idx="109">
                  <c:v>42667</c:v>
                </c:pt>
                <c:pt idx="110">
                  <c:v>42664</c:v>
                </c:pt>
                <c:pt idx="111">
                  <c:v>42663</c:v>
                </c:pt>
                <c:pt idx="112">
                  <c:v>42662</c:v>
                </c:pt>
                <c:pt idx="113">
                  <c:v>42661</c:v>
                </c:pt>
                <c:pt idx="114">
                  <c:v>42660</c:v>
                </c:pt>
                <c:pt idx="115">
                  <c:v>42657</c:v>
                </c:pt>
                <c:pt idx="116">
                  <c:v>42656</c:v>
                </c:pt>
                <c:pt idx="117">
                  <c:v>42655</c:v>
                </c:pt>
                <c:pt idx="118">
                  <c:v>42654</c:v>
                </c:pt>
                <c:pt idx="119">
                  <c:v>42653</c:v>
                </c:pt>
                <c:pt idx="120">
                  <c:v>42650</c:v>
                </c:pt>
                <c:pt idx="121">
                  <c:v>42649</c:v>
                </c:pt>
                <c:pt idx="122">
                  <c:v>42648</c:v>
                </c:pt>
                <c:pt idx="123">
                  <c:v>42647</c:v>
                </c:pt>
                <c:pt idx="124">
                  <c:v>42646</c:v>
                </c:pt>
                <c:pt idx="125">
                  <c:v>42643</c:v>
                </c:pt>
                <c:pt idx="126">
                  <c:v>42642</c:v>
                </c:pt>
                <c:pt idx="127">
                  <c:v>42641</c:v>
                </c:pt>
                <c:pt idx="128">
                  <c:v>42640</c:v>
                </c:pt>
                <c:pt idx="129">
                  <c:v>42639</c:v>
                </c:pt>
                <c:pt idx="130">
                  <c:v>42636</c:v>
                </c:pt>
                <c:pt idx="131">
                  <c:v>42635</c:v>
                </c:pt>
                <c:pt idx="132">
                  <c:v>42634</c:v>
                </c:pt>
                <c:pt idx="133">
                  <c:v>42633</c:v>
                </c:pt>
                <c:pt idx="134">
                  <c:v>42632</c:v>
                </c:pt>
                <c:pt idx="135">
                  <c:v>42629</c:v>
                </c:pt>
                <c:pt idx="136">
                  <c:v>42628</c:v>
                </c:pt>
                <c:pt idx="137">
                  <c:v>42627</c:v>
                </c:pt>
                <c:pt idx="138">
                  <c:v>42626</c:v>
                </c:pt>
                <c:pt idx="139">
                  <c:v>42625</c:v>
                </c:pt>
                <c:pt idx="140">
                  <c:v>42622</c:v>
                </c:pt>
                <c:pt idx="141">
                  <c:v>42621</c:v>
                </c:pt>
                <c:pt idx="142">
                  <c:v>42620</c:v>
                </c:pt>
                <c:pt idx="143">
                  <c:v>42619</c:v>
                </c:pt>
                <c:pt idx="144">
                  <c:v>42615</c:v>
                </c:pt>
                <c:pt idx="145">
                  <c:v>42614</c:v>
                </c:pt>
                <c:pt idx="146">
                  <c:v>42613</c:v>
                </c:pt>
                <c:pt idx="147">
                  <c:v>42612</c:v>
                </c:pt>
                <c:pt idx="148">
                  <c:v>42611</c:v>
                </c:pt>
                <c:pt idx="149">
                  <c:v>42608</c:v>
                </c:pt>
                <c:pt idx="150">
                  <c:v>42607</c:v>
                </c:pt>
                <c:pt idx="151">
                  <c:v>42606</c:v>
                </c:pt>
                <c:pt idx="152">
                  <c:v>42605</c:v>
                </c:pt>
                <c:pt idx="153">
                  <c:v>42604</c:v>
                </c:pt>
                <c:pt idx="154">
                  <c:v>42601</c:v>
                </c:pt>
                <c:pt idx="155">
                  <c:v>42600</c:v>
                </c:pt>
                <c:pt idx="156">
                  <c:v>42599</c:v>
                </c:pt>
                <c:pt idx="157">
                  <c:v>42598</c:v>
                </c:pt>
                <c:pt idx="158">
                  <c:v>42597</c:v>
                </c:pt>
                <c:pt idx="159">
                  <c:v>42594</c:v>
                </c:pt>
                <c:pt idx="160">
                  <c:v>42593</c:v>
                </c:pt>
                <c:pt idx="161">
                  <c:v>42592</c:v>
                </c:pt>
                <c:pt idx="162">
                  <c:v>42591</c:v>
                </c:pt>
                <c:pt idx="163">
                  <c:v>42590</c:v>
                </c:pt>
                <c:pt idx="164">
                  <c:v>42587</c:v>
                </c:pt>
                <c:pt idx="165">
                  <c:v>42586</c:v>
                </c:pt>
                <c:pt idx="166">
                  <c:v>42585</c:v>
                </c:pt>
                <c:pt idx="167">
                  <c:v>42584</c:v>
                </c:pt>
                <c:pt idx="168">
                  <c:v>42583</c:v>
                </c:pt>
                <c:pt idx="169">
                  <c:v>42580</c:v>
                </c:pt>
                <c:pt idx="170">
                  <c:v>42579</c:v>
                </c:pt>
                <c:pt idx="171">
                  <c:v>42578</c:v>
                </c:pt>
                <c:pt idx="172">
                  <c:v>42577</c:v>
                </c:pt>
                <c:pt idx="173">
                  <c:v>42576</c:v>
                </c:pt>
                <c:pt idx="174">
                  <c:v>42573</c:v>
                </c:pt>
                <c:pt idx="175">
                  <c:v>42572</c:v>
                </c:pt>
                <c:pt idx="176">
                  <c:v>42571</c:v>
                </c:pt>
                <c:pt idx="177">
                  <c:v>42570</c:v>
                </c:pt>
                <c:pt idx="178">
                  <c:v>42569</c:v>
                </c:pt>
                <c:pt idx="179">
                  <c:v>42566</c:v>
                </c:pt>
                <c:pt idx="180">
                  <c:v>42565</c:v>
                </c:pt>
                <c:pt idx="181">
                  <c:v>42564</c:v>
                </c:pt>
                <c:pt idx="182">
                  <c:v>42563</c:v>
                </c:pt>
                <c:pt idx="183">
                  <c:v>42562</c:v>
                </c:pt>
                <c:pt idx="184">
                  <c:v>42559</c:v>
                </c:pt>
                <c:pt idx="185">
                  <c:v>42558</c:v>
                </c:pt>
                <c:pt idx="186">
                  <c:v>42557</c:v>
                </c:pt>
                <c:pt idx="187">
                  <c:v>42556</c:v>
                </c:pt>
                <c:pt idx="188">
                  <c:v>42552</c:v>
                </c:pt>
                <c:pt idx="189">
                  <c:v>42551</c:v>
                </c:pt>
                <c:pt idx="190">
                  <c:v>42550</c:v>
                </c:pt>
                <c:pt idx="191">
                  <c:v>42549</c:v>
                </c:pt>
                <c:pt idx="192">
                  <c:v>42548</c:v>
                </c:pt>
                <c:pt idx="193">
                  <c:v>42545</c:v>
                </c:pt>
                <c:pt idx="194">
                  <c:v>42544</c:v>
                </c:pt>
                <c:pt idx="195">
                  <c:v>42543</c:v>
                </c:pt>
                <c:pt idx="196">
                  <c:v>42542</c:v>
                </c:pt>
                <c:pt idx="197">
                  <c:v>42541</c:v>
                </c:pt>
                <c:pt idx="198">
                  <c:v>42538</c:v>
                </c:pt>
                <c:pt idx="199">
                  <c:v>42537</c:v>
                </c:pt>
                <c:pt idx="200">
                  <c:v>42536</c:v>
                </c:pt>
                <c:pt idx="201">
                  <c:v>42535</c:v>
                </c:pt>
                <c:pt idx="202">
                  <c:v>42534</c:v>
                </c:pt>
                <c:pt idx="203">
                  <c:v>42531</c:v>
                </c:pt>
                <c:pt idx="204">
                  <c:v>42530</c:v>
                </c:pt>
                <c:pt idx="205">
                  <c:v>42529</c:v>
                </c:pt>
                <c:pt idx="206">
                  <c:v>42528</c:v>
                </c:pt>
                <c:pt idx="207">
                  <c:v>42527</c:v>
                </c:pt>
                <c:pt idx="208">
                  <c:v>42524</c:v>
                </c:pt>
                <c:pt idx="209">
                  <c:v>42523</c:v>
                </c:pt>
                <c:pt idx="210">
                  <c:v>42522</c:v>
                </c:pt>
                <c:pt idx="211">
                  <c:v>42521</c:v>
                </c:pt>
                <c:pt idx="212">
                  <c:v>42517</c:v>
                </c:pt>
                <c:pt idx="213">
                  <c:v>42516</c:v>
                </c:pt>
                <c:pt idx="214">
                  <c:v>42515</c:v>
                </c:pt>
                <c:pt idx="215">
                  <c:v>42514</c:v>
                </c:pt>
                <c:pt idx="216">
                  <c:v>42513</c:v>
                </c:pt>
                <c:pt idx="217">
                  <c:v>42510</c:v>
                </c:pt>
                <c:pt idx="218">
                  <c:v>42509</c:v>
                </c:pt>
                <c:pt idx="219">
                  <c:v>42508</c:v>
                </c:pt>
                <c:pt idx="220">
                  <c:v>42507</c:v>
                </c:pt>
                <c:pt idx="221">
                  <c:v>42506</c:v>
                </c:pt>
                <c:pt idx="222">
                  <c:v>42503</c:v>
                </c:pt>
                <c:pt idx="223">
                  <c:v>42502</c:v>
                </c:pt>
                <c:pt idx="224">
                  <c:v>42501</c:v>
                </c:pt>
                <c:pt idx="225">
                  <c:v>42500</c:v>
                </c:pt>
                <c:pt idx="226">
                  <c:v>42499</c:v>
                </c:pt>
                <c:pt idx="227">
                  <c:v>42496</c:v>
                </c:pt>
                <c:pt idx="228">
                  <c:v>42495</c:v>
                </c:pt>
                <c:pt idx="229">
                  <c:v>42494</c:v>
                </c:pt>
                <c:pt idx="230">
                  <c:v>42493</c:v>
                </c:pt>
                <c:pt idx="231">
                  <c:v>42492</c:v>
                </c:pt>
                <c:pt idx="232">
                  <c:v>42489</c:v>
                </c:pt>
                <c:pt idx="233">
                  <c:v>42488</c:v>
                </c:pt>
                <c:pt idx="234">
                  <c:v>42487</c:v>
                </c:pt>
                <c:pt idx="235">
                  <c:v>42486</c:v>
                </c:pt>
                <c:pt idx="236">
                  <c:v>42485</c:v>
                </c:pt>
                <c:pt idx="237">
                  <c:v>42482</c:v>
                </c:pt>
                <c:pt idx="238">
                  <c:v>42481</c:v>
                </c:pt>
                <c:pt idx="239">
                  <c:v>42480</c:v>
                </c:pt>
                <c:pt idx="240">
                  <c:v>42479</c:v>
                </c:pt>
                <c:pt idx="241">
                  <c:v>42478</c:v>
                </c:pt>
                <c:pt idx="242">
                  <c:v>42475</c:v>
                </c:pt>
                <c:pt idx="243">
                  <c:v>42474</c:v>
                </c:pt>
                <c:pt idx="244">
                  <c:v>42473</c:v>
                </c:pt>
                <c:pt idx="245">
                  <c:v>42472</c:v>
                </c:pt>
                <c:pt idx="246">
                  <c:v>42471</c:v>
                </c:pt>
                <c:pt idx="247">
                  <c:v>42468</c:v>
                </c:pt>
                <c:pt idx="248">
                  <c:v>42467</c:v>
                </c:pt>
                <c:pt idx="249">
                  <c:v>42466</c:v>
                </c:pt>
                <c:pt idx="250">
                  <c:v>42465</c:v>
                </c:pt>
                <c:pt idx="251">
                  <c:v>42464</c:v>
                </c:pt>
                <c:pt idx="252">
                  <c:v>42461</c:v>
                </c:pt>
                <c:pt idx="253">
                  <c:v>42460</c:v>
                </c:pt>
                <c:pt idx="254">
                  <c:v>42459</c:v>
                </c:pt>
                <c:pt idx="255">
                  <c:v>42458</c:v>
                </c:pt>
                <c:pt idx="256">
                  <c:v>42457</c:v>
                </c:pt>
                <c:pt idx="257">
                  <c:v>42453</c:v>
                </c:pt>
                <c:pt idx="258">
                  <c:v>42452</c:v>
                </c:pt>
                <c:pt idx="259">
                  <c:v>42451</c:v>
                </c:pt>
                <c:pt idx="260">
                  <c:v>42450</c:v>
                </c:pt>
                <c:pt idx="261">
                  <c:v>42447</c:v>
                </c:pt>
                <c:pt idx="262">
                  <c:v>42446</c:v>
                </c:pt>
                <c:pt idx="263">
                  <c:v>42445</c:v>
                </c:pt>
                <c:pt idx="264">
                  <c:v>42444</c:v>
                </c:pt>
                <c:pt idx="265">
                  <c:v>42443</c:v>
                </c:pt>
                <c:pt idx="266">
                  <c:v>42440</c:v>
                </c:pt>
                <c:pt idx="267">
                  <c:v>42439</c:v>
                </c:pt>
                <c:pt idx="268">
                  <c:v>42438</c:v>
                </c:pt>
                <c:pt idx="269">
                  <c:v>42437</c:v>
                </c:pt>
                <c:pt idx="270">
                  <c:v>42436</c:v>
                </c:pt>
                <c:pt idx="271">
                  <c:v>42433</c:v>
                </c:pt>
                <c:pt idx="272">
                  <c:v>42432</c:v>
                </c:pt>
                <c:pt idx="273">
                  <c:v>42431</c:v>
                </c:pt>
                <c:pt idx="274">
                  <c:v>42430</c:v>
                </c:pt>
                <c:pt idx="275">
                  <c:v>42429</c:v>
                </c:pt>
                <c:pt idx="276">
                  <c:v>42426</c:v>
                </c:pt>
                <c:pt idx="277">
                  <c:v>42425</c:v>
                </c:pt>
                <c:pt idx="278">
                  <c:v>42424</c:v>
                </c:pt>
                <c:pt idx="279">
                  <c:v>42423</c:v>
                </c:pt>
                <c:pt idx="280">
                  <c:v>42422</c:v>
                </c:pt>
                <c:pt idx="281">
                  <c:v>42419</c:v>
                </c:pt>
                <c:pt idx="282">
                  <c:v>42418</c:v>
                </c:pt>
                <c:pt idx="283">
                  <c:v>42417</c:v>
                </c:pt>
                <c:pt idx="284">
                  <c:v>42416</c:v>
                </c:pt>
                <c:pt idx="285">
                  <c:v>42412</c:v>
                </c:pt>
                <c:pt idx="286">
                  <c:v>42411</c:v>
                </c:pt>
                <c:pt idx="287">
                  <c:v>42410</c:v>
                </c:pt>
                <c:pt idx="288">
                  <c:v>42409</c:v>
                </c:pt>
                <c:pt idx="289">
                  <c:v>42408</c:v>
                </c:pt>
                <c:pt idx="290">
                  <c:v>42405</c:v>
                </c:pt>
                <c:pt idx="291">
                  <c:v>42404</c:v>
                </c:pt>
                <c:pt idx="292">
                  <c:v>42403</c:v>
                </c:pt>
                <c:pt idx="293">
                  <c:v>42402</c:v>
                </c:pt>
                <c:pt idx="294">
                  <c:v>42401</c:v>
                </c:pt>
                <c:pt idx="295">
                  <c:v>42398</c:v>
                </c:pt>
                <c:pt idx="296">
                  <c:v>42397</c:v>
                </c:pt>
                <c:pt idx="297">
                  <c:v>42396</c:v>
                </c:pt>
                <c:pt idx="298">
                  <c:v>42395</c:v>
                </c:pt>
                <c:pt idx="299">
                  <c:v>42394</c:v>
                </c:pt>
                <c:pt idx="300">
                  <c:v>42391</c:v>
                </c:pt>
                <c:pt idx="301">
                  <c:v>42390</c:v>
                </c:pt>
                <c:pt idx="302">
                  <c:v>42389</c:v>
                </c:pt>
                <c:pt idx="303">
                  <c:v>42388</c:v>
                </c:pt>
                <c:pt idx="304">
                  <c:v>42384</c:v>
                </c:pt>
                <c:pt idx="305">
                  <c:v>42383</c:v>
                </c:pt>
                <c:pt idx="306">
                  <c:v>42382</c:v>
                </c:pt>
                <c:pt idx="307">
                  <c:v>42381</c:v>
                </c:pt>
                <c:pt idx="308">
                  <c:v>42380</c:v>
                </c:pt>
                <c:pt idx="309">
                  <c:v>42377</c:v>
                </c:pt>
                <c:pt idx="310">
                  <c:v>42376</c:v>
                </c:pt>
                <c:pt idx="311">
                  <c:v>42375</c:v>
                </c:pt>
                <c:pt idx="312">
                  <c:v>42374</c:v>
                </c:pt>
                <c:pt idx="313">
                  <c:v>42373</c:v>
                </c:pt>
                <c:pt idx="314">
                  <c:v>42369</c:v>
                </c:pt>
                <c:pt idx="315">
                  <c:v>42368</c:v>
                </c:pt>
                <c:pt idx="316">
                  <c:v>42367</c:v>
                </c:pt>
                <c:pt idx="317">
                  <c:v>42366</c:v>
                </c:pt>
                <c:pt idx="318">
                  <c:v>42362</c:v>
                </c:pt>
                <c:pt idx="319">
                  <c:v>42361</c:v>
                </c:pt>
                <c:pt idx="320">
                  <c:v>42360</c:v>
                </c:pt>
                <c:pt idx="321">
                  <c:v>42359</c:v>
                </c:pt>
                <c:pt idx="322">
                  <c:v>42356</c:v>
                </c:pt>
                <c:pt idx="323">
                  <c:v>42355</c:v>
                </c:pt>
                <c:pt idx="324">
                  <c:v>42354</c:v>
                </c:pt>
                <c:pt idx="325">
                  <c:v>42353</c:v>
                </c:pt>
                <c:pt idx="326">
                  <c:v>42352</c:v>
                </c:pt>
                <c:pt idx="327">
                  <c:v>42349</c:v>
                </c:pt>
                <c:pt idx="328">
                  <c:v>42348</c:v>
                </c:pt>
                <c:pt idx="329">
                  <c:v>42347</c:v>
                </c:pt>
                <c:pt idx="330">
                  <c:v>42346</c:v>
                </c:pt>
                <c:pt idx="331">
                  <c:v>42345</c:v>
                </c:pt>
                <c:pt idx="332">
                  <c:v>42342</c:v>
                </c:pt>
                <c:pt idx="333">
                  <c:v>42341</c:v>
                </c:pt>
                <c:pt idx="334">
                  <c:v>42340</c:v>
                </c:pt>
                <c:pt idx="335">
                  <c:v>42339</c:v>
                </c:pt>
                <c:pt idx="336">
                  <c:v>42338</c:v>
                </c:pt>
                <c:pt idx="337">
                  <c:v>42335</c:v>
                </c:pt>
                <c:pt idx="338">
                  <c:v>42333</c:v>
                </c:pt>
                <c:pt idx="339">
                  <c:v>42332</c:v>
                </c:pt>
                <c:pt idx="340">
                  <c:v>42331</c:v>
                </c:pt>
                <c:pt idx="341">
                  <c:v>42328</c:v>
                </c:pt>
                <c:pt idx="342">
                  <c:v>42327</c:v>
                </c:pt>
                <c:pt idx="343">
                  <c:v>42326</c:v>
                </c:pt>
                <c:pt idx="344">
                  <c:v>42325</c:v>
                </c:pt>
                <c:pt idx="345">
                  <c:v>42324</c:v>
                </c:pt>
                <c:pt idx="346">
                  <c:v>42321</c:v>
                </c:pt>
                <c:pt idx="347">
                  <c:v>42320</c:v>
                </c:pt>
                <c:pt idx="348">
                  <c:v>42319</c:v>
                </c:pt>
                <c:pt idx="349">
                  <c:v>42318</c:v>
                </c:pt>
                <c:pt idx="350">
                  <c:v>42317</c:v>
                </c:pt>
                <c:pt idx="351">
                  <c:v>42314</c:v>
                </c:pt>
                <c:pt idx="352">
                  <c:v>42313</c:v>
                </c:pt>
                <c:pt idx="353">
                  <c:v>42312</c:v>
                </c:pt>
                <c:pt idx="354">
                  <c:v>42311</c:v>
                </c:pt>
                <c:pt idx="355">
                  <c:v>42310</c:v>
                </c:pt>
                <c:pt idx="356">
                  <c:v>42307</c:v>
                </c:pt>
                <c:pt idx="357">
                  <c:v>42306</c:v>
                </c:pt>
                <c:pt idx="358">
                  <c:v>42305</c:v>
                </c:pt>
                <c:pt idx="359">
                  <c:v>42304</c:v>
                </c:pt>
                <c:pt idx="360">
                  <c:v>42303</c:v>
                </c:pt>
                <c:pt idx="361">
                  <c:v>42300</c:v>
                </c:pt>
                <c:pt idx="362">
                  <c:v>42299</c:v>
                </c:pt>
                <c:pt idx="363">
                  <c:v>42298</c:v>
                </c:pt>
                <c:pt idx="364">
                  <c:v>42297</c:v>
                </c:pt>
                <c:pt idx="365">
                  <c:v>42296</c:v>
                </c:pt>
                <c:pt idx="366">
                  <c:v>42293</c:v>
                </c:pt>
                <c:pt idx="367">
                  <c:v>42292</c:v>
                </c:pt>
                <c:pt idx="368">
                  <c:v>42291</c:v>
                </c:pt>
                <c:pt idx="369">
                  <c:v>42290</c:v>
                </c:pt>
                <c:pt idx="370">
                  <c:v>42289</c:v>
                </c:pt>
                <c:pt idx="371">
                  <c:v>42286</c:v>
                </c:pt>
                <c:pt idx="372">
                  <c:v>42285</c:v>
                </c:pt>
                <c:pt idx="373">
                  <c:v>42284</c:v>
                </c:pt>
                <c:pt idx="374">
                  <c:v>42283</c:v>
                </c:pt>
                <c:pt idx="375">
                  <c:v>42282</c:v>
                </c:pt>
                <c:pt idx="376">
                  <c:v>42279</c:v>
                </c:pt>
                <c:pt idx="377">
                  <c:v>42278</c:v>
                </c:pt>
                <c:pt idx="378">
                  <c:v>42277</c:v>
                </c:pt>
                <c:pt idx="379">
                  <c:v>42276</c:v>
                </c:pt>
                <c:pt idx="380">
                  <c:v>42275</c:v>
                </c:pt>
                <c:pt idx="381">
                  <c:v>42272</c:v>
                </c:pt>
                <c:pt idx="382">
                  <c:v>42271</c:v>
                </c:pt>
                <c:pt idx="383">
                  <c:v>42270</c:v>
                </c:pt>
                <c:pt idx="384">
                  <c:v>42269</c:v>
                </c:pt>
                <c:pt idx="385">
                  <c:v>42268</c:v>
                </c:pt>
                <c:pt idx="386">
                  <c:v>42265</c:v>
                </c:pt>
                <c:pt idx="387">
                  <c:v>42264</c:v>
                </c:pt>
                <c:pt idx="388">
                  <c:v>42263</c:v>
                </c:pt>
                <c:pt idx="389">
                  <c:v>42262</c:v>
                </c:pt>
                <c:pt idx="390">
                  <c:v>42261</c:v>
                </c:pt>
                <c:pt idx="391">
                  <c:v>42258</c:v>
                </c:pt>
                <c:pt idx="392">
                  <c:v>42257</c:v>
                </c:pt>
                <c:pt idx="393">
                  <c:v>42256</c:v>
                </c:pt>
                <c:pt idx="394">
                  <c:v>42255</c:v>
                </c:pt>
                <c:pt idx="395">
                  <c:v>42251</c:v>
                </c:pt>
                <c:pt idx="396">
                  <c:v>42250</c:v>
                </c:pt>
                <c:pt idx="397">
                  <c:v>42249</c:v>
                </c:pt>
                <c:pt idx="398">
                  <c:v>42248</c:v>
                </c:pt>
                <c:pt idx="399">
                  <c:v>42247</c:v>
                </c:pt>
                <c:pt idx="400">
                  <c:v>42244</c:v>
                </c:pt>
                <c:pt idx="401">
                  <c:v>42243</c:v>
                </c:pt>
                <c:pt idx="402">
                  <c:v>42242</c:v>
                </c:pt>
                <c:pt idx="403">
                  <c:v>42241</c:v>
                </c:pt>
                <c:pt idx="404">
                  <c:v>42240</c:v>
                </c:pt>
                <c:pt idx="405">
                  <c:v>42237</c:v>
                </c:pt>
                <c:pt idx="406">
                  <c:v>42236</c:v>
                </c:pt>
                <c:pt idx="407">
                  <c:v>42235</c:v>
                </c:pt>
                <c:pt idx="408">
                  <c:v>42234</c:v>
                </c:pt>
                <c:pt idx="409">
                  <c:v>42233</c:v>
                </c:pt>
                <c:pt idx="410">
                  <c:v>42230</c:v>
                </c:pt>
                <c:pt idx="411">
                  <c:v>42229</c:v>
                </c:pt>
                <c:pt idx="412">
                  <c:v>42228</c:v>
                </c:pt>
                <c:pt idx="413">
                  <c:v>42227</c:v>
                </c:pt>
                <c:pt idx="414">
                  <c:v>42226</c:v>
                </c:pt>
                <c:pt idx="415">
                  <c:v>42223</c:v>
                </c:pt>
              </c:numCache>
            </c:numRef>
          </c:cat>
          <c:val>
            <c:numRef>
              <c:f>'Graf 3+4'!$J$3:$J$418</c:f>
              <c:numCache>
                <c:formatCode>General</c:formatCode>
                <c:ptCount val="416"/>
                <c:pt idx="0">
                  <c:v>52.83</c:v>
                </c:pt>
                <c:pt idx="1">
                  <c:v>52.96</c:v>
                </c:pt>
                <c:pt idx="2">
                  <c:v>52.42</c:v>
                </c:pt>
                <c:pt idx="3">
                  <c:v>51.33</c:v>
                </c:pt>
                <c:pt idx="4">
                  <c:v>50.75</c:v>
                </c:pt>
                <c:pt idx="5">
                  <c:v>50.8</c:v>
                </c:pt>
                <c:pt idx="6">
                  <c:v>50.56</c:v>
                </c:pt>
                <c:pt idx="7">
                  <c:v>50.64</c:v>
                </c:pt>
                <c:pt idx="8">
                  <c:v>50.96</c:v>
                </c:pt>
                <c:pt idx="9">
                  <c:v>51.62</c:v>
                </c:pt>
                <c:pt idx="10">
                  <c:v>51.76</c:v>
                </c:pt>
                <c:pt idx="11">
                  <c:v>51.74</c:v>
                </c:pt>
                <c:pt idx="12">
                  <c:v>51.81</c:v>
                </c:pt>
                <c:pt idx="13">
                  <c:v>50.92</c:v>
                </c:pt>
                <c:pt idx="14">
                  <c:v>51.35</c:v>
                </c:pt>
                <c:pt idx="15">
                  <c:v>51.37</c:v>
                </c:pt>
                <c:pt idx="16">
                  <c:v>52.19</c:v>
                </c:pt>
                <c:pt idx="17">
                  <c:v>53.11</c:v>
                </c:pt>
                <c:pt idx="18">
                  <c:v>55.92</c:v>
                </c:pt>
                <c:pt idx="19">
                  <c:v>56.01</c:v>
                </c:pt>
                <c:pt idx="20">
                  <c:v>55.9</c:v>
                </c:pt>
                <c:pt idx="21">
                  <c:v>55.08</c:v>
                </c:pt>
                <c:pt idx="22">
                  <c:v>56.36</c:v>
                </c:pt>
                <c:pt idx="23">
                  <c:v>55.59</c:v>
                </c:pt>
                <c:pt idx="24">
                  <c:v>55.93</c:v>
                </c:pt>
                <c:pt idx="25">
                  <c:v>55.99</c:v>
                </c:pt>
                <c:pt idx="26">
                  <c:v>56.58</c:v>
                </c:pt>
                <c:pt idx="27">
                  <c:v>55.84</c:v>
                </c:pt>
                <c:pt idx="28">
                  <c:v>56.66</c:v>
                </c:pt>
                <c:pt idx="29">
                  <c:v>55.81</c:v>
                </c:pt>
                <c:pt idx="30">
                  <c:v>55.65</c:v>
                </c:pt>
                <c:pt idx="31">
                  <c:v>55.75</c:v>
                </c:pt>
                <c:pt idx="32">
                  <c:v>55.97</c:v>
                </c:pt>
                <c:pt idx="33">
                  <c:v>55.59</c:v>
                </c:pt>
                <c:pt idx="34">
                  <c:v>56.7</c:v>
                </c:pt>
                <c:pt idx="35">
                  <c:v>55.63</c:v>
                </c:pt>
                <c:pt idx="36">
                  <c:v>55.12</c:v>
                </c:pt>
                <c:pt idx="37">
                  <c:v>55.05</c:v>
                </c:pt>
                <c:pt idx="38">
                  <c:v>55.72</c:v>
                </c:pt>
                <c:pt idx="39">
                  <c:v>56.81</c:v>
                </c:pt>
                <c:pt idx="40">
                  <c:v>56.56</c:v>
                </c:pt>
                <c:pt idx="41">
                  <c:v>56.8</c:v>
                </c:pt>
                <c:pt idx="42">
                  <c:v>55.7</c:v>
                </c:pt>
                <c:pt idx="43">
                  <c:v>55.23</c:v>
                </c:pt>
                <c:pt idx="44">
                  <c:v>55.52</c:v>
                </c:pt>
                <c:pt idx="45">
                  <c:v>56.24</c:v>
                </c:pt>
                <c:pt idx="46">
                  <c:v>55.08</c:v>
                </c:pt>
                <c:pt idx="47">
                  <c:v>55.44</c:v>
                </c:pt>
                <c:pt idx="48">
                  <c:v>55.23</c:v>
                </c:pt>
                <c:pt idx="49">
                  <c:v>55.49</c:v>
                </c:pt>
                <c:pt idx="50">
                  <c:v>54.16</c:v>
                </c:pt>
                <c:pt idx="51">
                  <c:v>53.92</c:v>
                </c:pt>
                <c:pt idx="52">
                  <c:v>55.47</c:v>
                </c:pt>
                <c:pt idx="53">
                  <c:v>55.45</c:v>
                </c:pt>
                <c:pt idx="54">
                  <c:v>56.01</c:v>
                </c:pt>
                <c:pt idx="55">
                  <c:v>55.1</c:v>
                </c:pt>
                <c:pt idx="56">
                  <c:v>53.64</c:v>
                </c:pt>
                <c:pt idx="57">
                  <c:v>54.94</c:v>
                </c:pt>
                <c:pt idx="58">
                  <c:v>57.1</c:v>
                </c:pt>
                <c:pt idx="59">
                  <c:v>56.89</c:v>
                </c:pt>
                <c:pt idx="60">
                  <c:v>56.46</c:v>
                </c:pt>
                <c:pt idx="61">
                  <c:v>55.47</c:v>
                </c:pt>
                <c:pt idx="62">
                  <c:v>56.82</c:v>
                </c:pt>
                <c:pt idx="63">
                  <c:v>56.14</c:v>
                </c:pt>
                <c:pt idx="64">
                  <c:v>56.22</c:v>
                </c:pt>
                <c:pt idx="65">
                  <c:v>56.09</c:v>
                </c:pt>
                <c:pt idx="66">
                  <c:v>55.16</c:v>
                </c:pt>
                <c:pt idx="67">
                  <c:v>55.05</c:v>
                </c:pt>
                <c:pt idx="68">
                  <c:v>54.46</c:v>
                </c:pt>
                <c:pt idx="69">
                  <c:v>55.35</c:v>
                </c:pt>
                <c:pt idx="70">
                  <c:v>54.92</c:v>
                </c:pt>
                <c:pt idx="71">
                  <c:v>55.21</c:v>
                </c:pt>
                <c:pt idx="72">
                  <c:v>54.02</c:v>
                </c:pt>
                <c:pt idx="73">
                  <c:v>53.9</c:v>
                </c:pt>
                <c:pt idx="74">
                  <c:v>55.72</c:v>
                </c:pt>
                <c:pt idx="75">
                  <c:v>55.69</c:v>
                </c:pt>
                <c:pt idx="76">
                  <c:v>54.33</c:v>
                </c:pt>
                <c:pt idx="77">
                  <c:v>53.89</c:v>
                </c:pt>
                <c:pt idx="78">
                  <c:v>53</c:v>
                </c:pt>
                <c:pt idx="79">
                  <c:v>53.93</c:v>
                </c:pt>
                <c:pt idx="80">
                  <c:v>54.94</c:v>
                </c:pt>
                <c:pt idx="81">
                  <c:v>54.46</c:v>
                </c:pt>
                <c:pt idx="82">
                  <c:v>53.94</c:v>
                </c:pt>
                <c:pt idx="83">
                  <c:v>50.47</c:v>
                </c:pt>
                <c:pt idx="84">
                  <c:v>46.38</c:v>
                </c:pt>
                <c:pt idx="85">
                  <c:v>48.24</c:v>
                </c:pt>
                <c:pt idx="86">
                  <c:v>47.24</c:v>
                </c:pt>
                <c:pt idx="87">
                  <c:v>48.95</c:v>
                </c:pt>
                <c:pt idx="88">
                  <c:v>49.12</c:v>
                </c:pt>
                <c:pt idx="89">
                  <c:v>48.9</c:v>
                </c:pt>
                <c:pt idx="90">
                  <c:v>46.86</c:v>
                </c:pt>
                <c:pt idx="91">
                  <c:v>46.49</c:v>
                </c:pt>
                <c:pt idx="92">
                  <c:v>46.63</c:v>
                </c:pt>
                <c:pt idx="93">
                  <c:v>46.95</c:v>
                </c:pt>
                <c:pt idx="94">
                  <c:v>44.43</c:v>
                </c:pt>
                <c:pt idx="95">
                  <c:v>44.75</c:v>
                </c:pt>
                <c:pt idx="96">
                  <c:v>45.84</c:v>
                </c:pt>
                <c:pt idx="97">
                  <c:v>46.36</c:v>
                </c:pt>
                <c:pt idx="98">
                  <c:v>46.04</c:v>
                </c:pt>
                <c:pt idx="99">
                  <c:v>46.15</c:v>
                </c:pt>
                <c:pt idx="100">
                  <c:v>45.58</c:v>
                </c:pt>
                <c:pt idx="101">
                  <c:v>46.35</c:v>
                </c:pt>
                <c:pt idx="102">
                  <c:v>46.86</c:v>
                </c:pt>
                <c:pt idx="103">
                  <c:v>48.14</c:v>
                </c:pt>
                <c:pt idx="104">
                  <c:v>48.3</c:v>
                </c:pt>
                <c:pt idx="105">
                  <c:v>49.71</c:v>
                </c:pt>
                <c:pt idx="106">
                  <c:v>50.47</c:v>
                </c:pt>
                <c:pt idx="107">
                  <c:v>49.98</c:v>
                </c:pt>
                <c:pt idx="108">
                  <c:v>50.79</c:v>
                </c:pt>
                <c:pt idx="109">
                  <c:v>51.46</c:v>
                </c:pt>
                <c:pt idx="110">
                  <c:v>51.78</c:v>
                </c:pt>
                <c:pt idx="111">
                  <c:v>51.38</c:v>
                </c:pt>
                <c:pt idx="112">
                  <c:v>52.67</c:v>
                </c:pt>
                <c:pt idx="113">
                  <c:v>51.68</c:v>
                </c:pt>
                <c:pt idx="114">
                  <c:v>51.52</c:v>
                </c:pt>
                <c:pt idx="115">
                  <c:v>51.95</c:v>
                </c:pt>
                <c:pt idx="116">
                  <c:v>52.03</c:v>
                </c:pt>
                <c:pt idx="117">
                  <c:v>51.81</c:v>
                </c:pt>
                <c:pt idx="118">
                  <c:v>52.41</c:v>
                </c:pt>
                <c:pt idx="119">
                  <c:v>53.14</c:v>
                </c:pt>
                <c:pt idx="120">
                  <c:v>51.93</c:v>
                </c:pt>
                <c:pt idx="121">
                  <c:v>52.51</c:v>
                </c:pt>
                <c:pt idx="122">
                  <c:v>51.86</c:v>
                </c:pt>
                <c:pt idx="123">
                  <c:v>50.87</c:v>
                </c:pt>
                <c:pt idx="124">
                  <c:v>50.89</c:v>
                </c:pt>
                <c:pt idx="125">
                  <c:v>49.06</c:v>
                </c:pt>
                <c:pt idx="126">
                  <c:v>49.24</c:v>
                </c:pt>
                <c:pt idx="127">
                  <c:v>48.69</c:v>
                </c:pt>
                <c:pt idx="128">
                  <c:v>45.97</c:v>
                </c:pt>
                <c:pt idx="129">
                  <c:v>47.35</c:v>
                </c:pt>
                <c:pt idx="130">
                  <c:v>45.89</c:v>
                </c:pt>
                <c:pt idx="131">
                  <c:v>47.65</c:v>
                </c:pt>
                <c:pt idx="132">
                  <c:v>46.83</c:v>
                </c:pt>
                <c:pt idx="133">
                  <c:v>45.88</c:v>
                </c:pt>
                <c:pt idx="134">
                  <c:v>45.95</c:v>
                </c:pt>
                <c:pt idx="135">
                  <c:v>45.77</c:v>
                </c:pt>
                <c:pt idx="136">
                  <c:v>46.59</c:v>
                </c:pt>
                <c:pt idx="137">
                  <c:v>45.85</c:v>
                </c:pt>
                <c:pt idx="138">
                  <c:v>47.1</c:v>
                </c:pt>
                <c:pt idx="139">
                  <c:v>48.32</c:v>
                </c:pt>
                <c:pt idx="140">
                  <c:v>48.01</c:v>
                </c:pt>
                <c:pt idx="141">
                  <c:v>49.99</c:v>
                </c:pt>
                <c:pt idx="142">
                  <c:v>47.98</c:v>
                </c:pt>
                <c:pt idx="143">
                  <c:v>47.26</c:v>
                </c:pt>
                <c:pt idx="144">
                  <c:v>46.83</c:v>
                </c:pt>
                <c:pt idx="145">
                  <c:v>45.45</c:v>
                </c:pt>
                <c:pt idx="146">
                  <c:v>47.04</c:v>
                </c:pt>
                <c:pt idx="147">
                  <c:v>48.37</c:v>
                </c:pt>
                <c:pt idx="148">
                  <c:v>49.26</c:v>
                </c:pt>
                <c:pt idx="149">
                  <c:v>49.92</c:v>
                </c:pt>
                <c:pt idx="150">
                  <c:v>49.67</c:v>
                </c:pt>
                <c:pt idx="151">
                  <c:v>49.05</c:v>
                </c:pt>
                <c:pt idx="152">
                  <c:v>49.96</c:v>
                </c:pt>
                <c:pt idx="153">
                  <c:v>49.16</c:v>
                </c:pt>
                <c:pt idx="154">
                  <c:v>50.88</c:v>
                </c:pt>
                <c:pt idx="155">
                  <c:v>50.89</c:v>
                </c:pt>
                <c:pt idx="156">
                  <c:v>49.85</c:v>
                </c:pt>
                <c:pt idx="157">
                  <c:v>49.23</c:v>
                </c:pt>
                <c:pt idx="158">
                  <c:v>48.35</c:v>
                </c:pt>
                <c:pt idx="159">
                  <c:v>46.97</c:v>
                </c:pt>
                <c:pt idx="160">
                  <c:v>46.04</c:v>
                </c:pt>
                <c:pt idx="161">
                  <c:v>44.05</c:v>
                </c:pt>
                <c:pt idx="162">
                  <c:v>44.98</c:v>
                </c:pt>
                <c:pt idx="163">
                  <c:v>45.39</c:v>
                </c:pt>
                <c:pt idx="164">
                  <c:v>44.27</c:v>
                </c:pt>
                <c:pt idx="165">
                  <c:v>44.29</c:v>
                </c:pt>
                <c:pt idx="166">
                  <c:v>43.1</c:v>
                </c:pt>
                <c:pt idx="167">
                  <c:v>41.8</c:v>
                </c:pt>
                <c:pt idx="168">
                  <c:v>42.14</c:v>
                </c:pt>
                <c:pt idx="169">
                  <c:v>42.46</c:v>
                </c:pt>
                <c:pt idx="170">
                  <c:v>42.7</c:v>
                </c:pt>
                <c:pt idx="171">
                  <c:v>43.47</c:v>
                </c:pt>
                <c:pt idx="172">
                  <c:v>44.87</c:v>
                </c:pt>
                <c:pt idx="173">
                  <c:v>44.72</c:v>
                </c:pt>
                <c:pt idx="174">
                  <c:v>45.69</c:v>
                </c:pt>
                <c:pt idx="175">
                  <c:v>46.2</c:v>
                </c:pt>
                <c:pt idx="176">
                  <c:v>47.17</c:v>
                </c:pt>
                <c:pt idx="177">
                  <c:v>46.66</c:v>
                </c:pt>
                <c:pt idx="178">
                  <c:v>46.96</c:v>
                </c:pt>
                <c:pt idx="179">
                  <c:v>47.61</c:v>
                </c:pt>
                <c:pt idx="180">
                  <c:v>47.37</c:v>
                </c:pt>
                <c:pt idx="181">
                  <c:v>46.26</c:v>
                </c:pt>
                <c:pt idx="182">
                  <c:v>48.47</c:v>
                </c:pt>
                <c:pt idx="183">
                  <c:v>46.25</c:v>
                </c:pt>
                <c:pt idx="184">
                  <c:v>46.76</c:v>
                </c:pt>
                <c:pt idx="185">
                  <c:v>46.4</c:v>
                </c:pt>
                <c:pt idx="186">
                  <c:v>48.8</c:v>
                </c:pt>
                <c:pt idx="187">
                  <c:v>47.96</c:v>
                </c:pt>
                <c:pt idx="188">
                  <c:v>50.35</c:v>
                </c:pt>
                <c:pt idx="189">
                  <c:v>49.68</c:v>
                </c:pt>
                <c:pt idx="190">
                  <c:v>50.61</c:v>
                </c:pt>
                <c:pt idx="191">
                  <c:v>48.58</c:v>
                </c:pt>
                <c:pt idx="192">
                  <c:v>47.16</c:v>
                </c:pt>
                <c:pt idx="193">
                  <c:v>48.41</c:v>
                </c:pt>
                <c:pt idx="194">
                  <c:v>50.91</c:v>
                </c:pt>
                <c:pt idx="195">
                  <c:v>49.88</c:v>
                </c:pt>
                <c:pt idx="196">
                  <c:v>50.62</c:v>
                </c:pt>
                <c:pt idx="197">
                  <c:v>50.65</c:v>
                </c:pt>
                <c:pt idx="198">
                  <c:v>49.17</c:v>
                </c:pt>
                <c:pt idx="199">
                  <c:v>47.19</c:v>
                </c:pt>
                <c:pt idx="200">
                  <c:v>48.97</c:v>
                </c:pt>
                <c:pt idx="201">
                  <c:v>49.83</c:v>
                </c:pt>
                <c:pt idx="202">
                  <c:v>50.35</c:v>
                </c:pt>
                <c:pt idx="203">
                  <c:v>50.54</c:v>
                </c:pt>
                <c:pt idx="204">
                  <c:v>51.95</c:v>
                </c:pt>
                <c:pt idx="205">
                  <c:v>52.51</c:v>
                </c:pt>
                <c:pt idx="206">
                  <c:v>51.44</c:v>
                </c:pt>
                <c:pt idx="207">
                  <c:v>50.55</c:v>
                </c:pt>
                <c:pt idx="208">
                  <c:v>49.64</c:v>
                </c:pt>
                <c:pt idx="209">
                  <c:v>50.04</c:v>
                </c:pt>
                <c:pt idx="210">
                  <c:v>49.72</c:v>
                </c:pt>
                <c:pt idx="211">
                  <c:v>49.69</c:v>
                </c:pt>
                <c:pt idx="212">
                  <c:v>49.32</c:v>
                </c:pt>
                <c:pt idx="213">
                  <c:v>49.59</c:v>
                </c:pt>
                <c:pt idx="214">
                  <c:v>49.74</c:v>
                </c:pt>
                <c:pt idx="215">
                  <c:v>48.61</c:v>
                </c:pt>
                <c:pt idx="216">
                  <c:v>48.35</c:v>
                </c:pt>
                <c:pt idx="217">
                  <c:v>48.72</c:v>
                </c:pt>
                <c:pt idx="218">
                  <c:v>48.81</c:v>
                </c:pt>
                <c:pt idx="219">
                  <c:v>48.93</c:v>
                </c:pt>
                <c:pt idx="220">
                  <c:v>49.28</c:v>
                </c:pt>
                <c:pt idx="221">
                  <c:v>48.97</c:v>
                </c:pt>
                <c:pt idx="222">
                  <c:v>47.83</c:v>
                </c:pt>
                <c:pt idx="223">
                  <c:v>48.08</c:v>
                </c:pt>
                <c:pt idx="224">
                  <c:v>47.6</c:v>
                </c:pt>
                <c:pt idx="225">
                  <c:v>45.52</c:v>
                </c:pt>
                <c:pt idx="226">
                  <c:v>43.63</c:v>
                </c:pt>
                <c:pt idx="227">
                  <c:v>45.37</c:v>
                </c:pt>
                <c:pt idx="228">
                  <c:v>45.01</c:v>
                </c:pt>
                <c:pt idx="229">
                  <c:v>44.62</c:v>
                </c:pt>
                <c:pt idx="230">
                  <c:v>44.97</c:v>
                </c:pt>
                <c:pt idx="231">
                  <c:v>45.83</c:v>
                </c:pt>
                <c:pt idx="232">
                  <c:v>48.13</c:v>
                </c:pt>
                <c:pt idx="233">
                  <c:v>48.14</c:v>
                </c:pt>
                <c:pt idx="234">
                  <c:v>47.18</c:v>
                </c:pt>
                <c:pt idx="235">
                  <c:v>45.74</c:v>
                </c:pt>
                <c:pt idx="236">
                  <c:v>44.48</c:v>
                </c:pt>
                <c:pt idx="237">
                  <c:v>45.11</c:v>
                </c:pt>
                <c:pt idx="238">
                  <c:v>44.53</c:v>
                </c:pt>
                <c:pt idx="239">
                  <c:v>45.8</c:v>
                </c:pt>
                <c:pt idx="240">
                  <c:v>44.03</c:v>
                </c:pt>
                <c:pt idx="241">
                  <c:v>42.91</c:v>
                </c:pt>
                <c:pt idx="242">
                  <c:v>43.1</c:v>
                </c:pt>
                <c:pt idx="243">
                  <c:v>43.84</c:v>
                </c:pt>
                <c:pt idx="244">
                  <c:v>44.18</c:v>
                </c:pt>
                <c:pt idx="245">
                  <c:v>44.69</c:v>
                </c:pt>
                <c:pt idx="246">
                  <c:v>42.83</c:v>
                </c:pt>
                <c:pt idx="247">
                  <c:v>41.94</c:v>
                </c:pt>
                <c:pt idx="248">
                  <c:v>39.43</c:v>
                </c:pt>
                <c:pt idx="249">
                  <c:v>39.840000000000003</c:v>
                </c:pt>
                <c:pt idx="250">
                  <c:v>37.869999999999997</c:v>
                </c:pt>
                <c:pt idx="251">
                  <c:v>37.69</c:v>
                </c:pt>
                <c:pt idx="252">
                  <c:v>38.67</c:v>
                </c:pt>
                <c:pt idx="253">
                  <c:v>39.6</c:v>
                </c:pt>
                <c:pt idx="254">
                  <c:v>39.26</c:v>
                </c:pt>
                <c:pt idx="255">
                  <c:v>39.14</c:v>
                </c:pt>
                <c:pt idx="256">
                  <c:v>40.270000000000003</c:v>
                </c:pt>
                <c:pt idx="257">
                  <c:v>40.44</c:v>
                </c:pt>
                <c:pt idx="258">
                  <c:v>40.47</c:v>
                </c:pt>
                <c:pt idx="259">
                  <c:v>41.79</c:v>
                </c:pt>
                <c:pt idx="260">
                  <c:v>41.54</c:v>
                </c:pt>
                <c:pt idx="261">
                  <c:v>41.2</c:v>
                </c:pt>
                <c:pt idx="262">
                  <c:v>41.54</c:v>
                </c:pt>
                <c:pt idx="263">
                  <c:v>40.33</c:v>
                </c:pt>
                <c:pt idx="264">
                  <c:v>38.74</c:v>
                </c:pt>
                <c:pt idx="265">
                  <c:v>39.53</c:v>
                </c:pt>
                <c:pt idx="266">
                  <c:v>40.39</c:v>
                </c:pt>
                <c:pt idx="267">
                  <c:v>40.049999999999997</c:v>
                </c:pt>
                <c:pt idx="268">
                  <c:v>41.07</c:v>
                </c:pt>
                <c:pt idx="269">
                  <c:v>39.65</c:v>
                </c:pt>
                <c:pt idx="270">
                  <c:v>40.840000000000003</c:v>
                </c:pt>
                <c:pt idx="271">
                  <c:v>38.72</c:v>
                </c:pt>
                <c:pt idx="272">
                  <c:v>37.07</c:v>
                </c:pt>
                <c:pt idx="273">
                  <c:v>36.93</c:v>
                </c:pt>
                <c:pt idx="274">
                  <c:v>36.81</c:v>
                </c:pt>
                <c:pt idx="275">
                  <c:v>35.97</c:v>
                </c:pt>
                <c:pt idx="276">
                  <c:v>35.1</c:v>
                </c:pt>
                <c:pt idx="277">
                  <c:v>35.29</c:v>
                </c:pt>
                <c:pt idx="278">
                  <c:v>34.409999999999997</c:v>
                </c:pt>
                <c:pt idx="279">
                  <c:v>33.270000000000003</c:v>
                </c:pt>
                <c:pt idx="280">
                  <c:v>34.69</c:v>
                </c:pt>
                <c:pt idx="281">
                  <c:v>33.01</c:v>
                </c:pt>
                <c:pt idx="282">
                  <c:v>34.28</c:v>
                </c:pt>
                <c:pt idx="283">
                  <c:v>34.5</c:v>
                </c:pt>
                <c:pt idx="284">
                  <c:v>32.18</c:v>
                </c:pt>
                <c:pt idx="285">
                  <c:v>33.36</c:v>
                </c:pt>
                <c:pt idx="286">
                  <c:v>30.06</c:v>
                </c:pt>
                <c:pt idx="287">
                  <c:v>30.84</c:v>
                </c:pt>
                <c:pt idx="288">
                  <c:v>30.32</c:v>
                </c:pt>
                <c:pt idx="289">
                  <c:v>32.880000000000003</c:v>
                </c:pt>
                <c:pt idx="290">
                  <c:v>34.06</c:v>
                </c:pt>
                <c:pt idx="291">
                  <c:v>34.46</c:v>
                </c:pt>
                <c:pt idx="292">
                  <c:v>35.04</c:v>
                </c:pt>
                <c:pt idx="293">
                  <c:v>32.72</c:v>
                </c:pt>
                <c:pt idx="294">
                  <c:v>34.24</c:v>
                </c:pt>
                <c:pt idx="295">
                  <c:v>34.74</c:v>
                </c:pt>
                <c:pt idx="296">
                  <c:v>33.89</c:v>
                </c:pt>
                <c:pt idx="297">
                  <c:v>33.1</c:v>
                </c:pt>
                <c:pt idx="298">
                  <c:v>31.8</c:v>
                </c:pt>
                <c:pt idx="299">
                  <c:v>30.5</c:v>
                </c:pt>
                <c:pt idx="300">
                  <c:v>32.18</c:v>
                </c:pt>
                <c:pt idx="301">
                  <c:v>29.25</c:v>
                </c:pt>
                <c:pt idx="302">
                  <c:v>27.88</c:v>
                </c:pt>
                <c:pt idx="303">
                  <c:v>28.76</c:v>
                </c:pt>
                <c:pt idx="304">
                  <c:v>28.94</c:v>
                </c:pt>
                <c:pt idx="305">
                  <c:v>31.03</c:v>
                </c:pt>
                <c:pt idx="306">
                  <c:v>30.31</c:v>
                </c:pt>
                <c:pt idx="307">
                  <c:v>30.86</c:v>
                </c:pt>
                <c:pt idx="308">
                  <c:v>31.55</c:v>
                </c:pt>
                <c:pt idx="309">
                  <c:v>33.549999999999997</c:v>
                </c:pt>
                <c:pt idx="310">
                  <c:v>33.75</c:v>
                </c:pt>
                <c:pt idx="311">
                  <c:v>34.229999999999997</c:v>
                </c:pt>
                <c:pt idx="312">
                  <c:v>36.42</c:v>
                </c:pt>
                <c:pt idx="313">
                  <c:v>37.22</c:v>
                </c:pt>
                <c:pt idx="314">
                  <c:v>37.28</c:v>
                </c:pt>
                <c:pt idx="315">
                  <c:v>36.46</c:v>
                </c:pt>
                <c:pt idx="316">
                  <c:v>37.79</c:v>
                </c:pt>
                <c:pt idx="317">
                  <c:v>36.619999999999997</c:v>
                </c:pt>
                <c:pt idx="318">
                  <c:v>37.89</c:v>
                </c:pt>
                <c:pt idx="319">
                  <c:v>37.36</c:v>
                </c:pt>
                <c:pt idx="320">
                  <c:v>36.11</c:v>
                </c:pt>
                <c:pt idx="321">
                  <c:v>36.35</c:v>
                </c:pt>
                <c:pt idx="322">
                  <c:v>36.880000000000003</c:v>
                </c:pt>
                <c:pt idx="323">
                  <c:v>37.06</c:v>
                </c:pt>
                <c:pt idx="324">
                  <c:v>37.19</c:v>
                </c:pt>
                <c:pt idx="325">
                  <c:v>38.450000000000003</c:v>
                </c:pt>
                <c:pt idx="326">
                  <c:v>37.92</c:v>
                </c:pt>
                <c:pt idx="327">
                  <c:v>37.93</c:v>
                </c:pt>
                <c:pt idx="328">
                  <c:v>39.729999999999997</c:v>
                </c:pt>
                <c:pt idx="329">
                  <c:v>40.11</c:v>
                </c:pt>
                <c:pt idx="330">
                  <c:v>40.26</c:v>
                </c:pt>
                <c:pt idx="331">
                  <c:v>40.729999999999997</c:v>
                </c:pt>
                <c:pt idx="332">
                  <c:v>43</c:v>
                </c:pt>
                <c:pt idx="333">
                  <c:v>43.84</c:v>
                </c:pt>
                <c:pt idx="334">
                  <c:v>42.49</c:v>
                </c:pt>
                <c:pt idx="335">
                  <c:v>44.44</c:v>
                </c:pt>
                <c:pt idx="336">
                  <c:v>44.61</c:v>
                </c:pt>
                <c:pt idx="337">
                  <c:v>44.86</c:v>
                </c:pt>
                <c:pt idx="338">
                  <c:v>46.17</c:v>
                </c:pt>
                <c:pt idx="339">
                  <c:v>46.12</c:v>
                </c:pt>
                <c:pt idx="340">
                  <c:v>44.83</c:v>
                </c:pt>
                <c:pt idx="341">
                  <c:v>44.66</c:v>
                </c:pt>
                <c:pt idx="342">
                  <c:v>44.18</c:v>
                </c:pt>
                <c:pt idx="343">
                  <c:v>44.14</c:v>
                </c:pt>
                <c:pt idx="344">
                  <c:v>43.57</c:v>
                </c:pt>
                <c:pt idx="345">
                  <c:v>44.56</c:v>
                </c:pt>
                <c:pt idx="346">
                  <c:v>43.61</c:v>
                </c:pt>
                <c:pt idx="347">
                  <c:v>44.06</c:v>
                </c:pt>
                <c:pt idx="348">
                  <c:v>45.81</c:v>
                </c:pt>
                <c:pt idx="349">
                  <c:v>47.44</c:v>
                </c:pt>
                <c:pt idx="350">
                  <c:v>47.19</c:v>
                </c:pt>
                <c:pt idx="351">
                  <c:v>47.42</c:v>
                </c:pt>
                <c:pt idx="352">
                  <c:v>47.98</c:v>
                </c:pt>
                <c:pt idx="353">
                  <c:v>48.58</c:v>
                </c:pt>
                <c:pt idx="354">
                  <c:v>50.54</c:v>
                </c:pt>
                <c:pt idx="355">
                  <c:v>48.79</c:v>
                </c:pt>
                <c:pt idx="356">
                  <c:v>49.56</c:v>
                </c:pt>
                <c:pt idx="357">
                  <c:v>48.8</c:v>
                </c:pt>
                <c:pt idx="358">
                  <c:v>49.05</c:v>
                </c:pt>
                <c:pt idx="359">
                  <c:v>46.81</c:v>
                </c:pt>
                <c:pt idx="360">
                  <c:v>47.54</c:v>
                </c:pt>
                <c:pt idx="361">
                  <c:v>47.99</c:v>
                </c:pt>
                <c:pt idx="362">
                  <c:v>48.08</c:v>
                </c:pt>
                <c:pt idx="363">
                  <c:v>47.85</c:v>
                </c:pt>
                <c:pt idx="364">
                  <c:v>48.71</c:v>
                </c:pt>
                <c:pt idx="365">
                  <c:v>48.61</c:v>
                </c:pt>
                <c:pt idx="366">
                  <c:v>50.46</c:v>
                </c:pt>
                <c:pt idx="367">
                  <c:v>48.71</c:v>
                </c:pt>
                <c:pt idx="368">
                  <c:v>49.15</c:v>
                </c:pt>
                <c:pt idx="369">
                  <c:v>49.24</c:v>
                </c:pt>
                <c:pt idx="370">
                  <c:v>49.86</c:v>
                </c:pt>
                <c:pt idx="371">
                  <c:v>52.65</c:v>
                </c:pt>
                <c:pt idx="372">
                  <c:v>53.05</c:v>
                </c:pt>
                <c:pt idx="373">
                  <c:v>51.33</c:v>
                </c:pt>
                <c:pt idx="374">
                  <c:v>51.92</c:v>
                </c:pt>
                <c:pt idx="375">
                  <c:v>49.25</c:v>
                </c:pt>
                <c:pt idx="376">
                  <c:v>48.13</c:v>
                </c:pt>
                <c:pt idx="377">
                  <c:v>47.69</c:v>
                </c:pt>
                <c:pt idx="378">
                  <c:v>48.37</c:v>
                </c:pt>
                <c:pt idx="379">
                  <c:v>48.23</c:v>
                </c:pt>
                <c:pt idx="380">
                  <c:v>47.34</c:v>
                </c:pt>
                <c:pt idx="381">
                  <c:v>48.6</c:v>
                </c:pt>
                <c:pt idx="382">
                  <c:v>48.17</c:v>
                </c:pt>
                <c:pt idx="383">
                  <c:v>47.75</c:v>
                </c:pt>
                <c:pt idx="384">
                  <c:v>49.08</c:v>
                </c:pt>
                <c:pt idx="385">
                  <c:v>48.92</c:v>
                </c:pt>
                <c:pt idx="386">
                  <c:v>47.47</c:v>
                </c:pt>
                <c:pt idx="387">
                  <c:v>49.08</c:v>
                </c:pt>
                <c:pt idx="388">
                  <c:v>49.75</c:v>
                </c:pt>
                <c:pt idx="389">
                  <c:v>46.63</c:v>
                </c:pt>
                <c:pt idx="390">
                  <c:v>46.37</c:v>
                </c:pt>
                <c:pt idx="391">
                  <c:v>48.14</c:v>
                </c:pt>
                <c:pt idx="392">
                  <c:v>48.89</c:v>
                </c:pt>
                <c:pt idx="393">
                  <c:v>47.58</c:v>
                </c:pt>
                <c:pt idx="394">
                  <c:v>49.52</c:v>
                </c:pt>
                <c:pt idx="395">
                  <c:v>49.61</c:v>
                </c:pt>
                <c:pt idx="396">
                  <c:v>50.68</c:v>
                </c:pt>
                <c:pt idx="397">
                  <c:v>50.5</c:v>
                </c:pt>
                <c:pt idx="398">
                  <c:v>49.56</c:v>
                </c:pt>
                <c:pt idx="399">
                  <c:v>54.15</c:v>
                </c:pt>
                <c:pt idx="400">
                  <c:v>50.05</c:v>
                </c:pt>
                <c:pt idx="401">
                  <c:v>47.56</c:v>
                </c:pt>
                <c:pt idx="402">
                  <c:v>43.14</c:v>
                </c:pt>
                <c:pt idx="403">
                  <c:v>43.21</c:v>
                </c:pt>
                <c:pt idx="404">
                  <c:v>42.69</c:v>
                </c:pt>
                <c:pt idx="405">
                  <c:v>45.46</c:v>
                </c:pt>
                <c:pt idx="406">
                  <c:v>46.62</c:v>
                </c:pt>
                <c:pt idx="407">
                  <c:v>47.16</c:v>
                </c:pt>
                <c:pt idx="408">
                  <c:v>48.81</c:v>
                </c:pt>
                <c:pt idx="409">
                  <c:v>48.74</c:v>
                </c:pt>
                <c:pt idx="410">
                  <c:v>49.03</c:v>
                </c:pt>
                <c:pt idx="411">
                  <c:v>49.22</c:v>
                </c:pt>
                <c:pt idx="412">
                  <c:v>49.66</c:v>
                </c:pt>
                <c:pt idx="413">
                  <c:v>49.18</c:v>
                </c:pt>
                <c:pt idx="414">
                  <c:v>50.41</c:v>
                </c:pt>
                <c:pt idx="415">
                  <c:v>48.61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579472"/>
        <c:axId val="617579864"/>
      </c:lineChart>
      <c:lineChart>
        <c:grouping val="standard"/>
        <c:varyColors val="0"/>
        <c:ser>
          <c:idx val="1"/>
          <c:order val="1"/>
          <c:tx>
            <c:v>Komoditný index (po)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'Graf 3+4'!$I$3:$I$418</c:f>
              <c:numCache>
                <c:formatCode>General</c:formatCode>
                <c:ptCount val="416"/>
                <c:pt idx="0">
                  <c:v>85.350800000000007</c:v>
                </c:pt>
                <c:pt idx="1">
                  <c:v>85.348799999999997</c:v>
                </c:pt>
                <c:pt idx="2">
                  <c:v>85.402299999999997</c:v>
                </c:pt>
                <c:pt idx="3">
                  <c:v>84.905900000000003</c:v>
                </c:pt>
                <c:pt idx="4">
                  <c:v>84.332300000000004</c:v>
                </c:pt>
                <c:pt idx="5">
                  <c:v>84.525800000000004</c:v>
                </c:pt>
                <c:pt idx="6">
                  <c:v>84.589299999999994</c:v>
                </c:pt>
                <c:pt idx="7">
                  <c:v>84.660399999999996</c:v>
                </c:pt>
                <c:pt idx="8">
                  <c:v>84.924099999999996</c:v>
                </c:pt>
                <c:pt idx="9">
                  <c:v>85.107299999999995</c:v>
                </c:pt>
                <c:pt idx="10">
                  <c:v>85.144900000000007</c:v>
                </c:pt>
                <c:pt idx="11">
                  <c:v>84.873099999999994</c:v>
                </c:pt>
                <c:pt idx="12">
                  <c:v>84.5137</c:v>
                </c:pt>
                <c:pt idx="13">
                  <c:v>83.902600000000007</c:v>
                </c:pt>
                <c:pt idx="14">
                  <c:v>84.369100000000003</c:v>
                </c:pt>
                <c:pt idx="15">
                  <c:v>84.267499999999998</c:v>
                </c:pt>
                <c:pt idx="16">
                  <c:v>84.578500000000005</c:v>
                </c:pt>
                <c:pt idx="17">
                  <c:v>85.290499999999994</c:v>
                </c:pt>
                <c:pt idx="18">
                  <c:v>86.351500000000001</c:v>
                </c:pt>
                <c:pt idx="19">
                  <c:v>87.110900000000001</c:v>
                </c:pt>
                <c:pt idx="20">
                  <c:v>87.189899999999994</c:v>
                </c:pt>
                <c:pt idx="21">
                  <c:v>86.986500000000007</c:v>
                </c:pt>
                <c:pt idx="22">
                  <c:v>88.323999999999998</c:v>
                </c:pt>
                <c:pt idx="23">
                  <c:v>87.738799999999998</c:v>
                </c:pt>
                <c:pt idx="24">
                  <c:v>87.099500000000006</c:v>
                </c:pt>
                <c:pt idx="25">
                  <c:v>87.483599999999996</c:v>
                </c:pt>
                <c:pt idx="26">
                  <c:v>87.372299999999996</c:v>
                </c:pt>
                <c:pt idx="27">
                  <c:v>87.551900000000003</c:v>
                </c:pt>
                <c:pt idx="28">
                  <c:v>87.864599999999996</c:v>
                </c:pt>
                <c:pt idx="29">
                  <c:v>88.110399999999998</c:v>
                </c:pt>
                <c:pt idx="30">
                  <c:v>88.480599999999995</c:v>
                </c:pt>
                <c:pt idx="31">
                  <c:v>89.013800000000003</c:v>
                </c:pt>
                <c:pt idx="32">
                  <c:v>88.625900000000001</c:v>
                </c:pt>
                <c:pt idx="33">
                  <c:v>88.637600000000006</c:v>
                </c:pt>
                <c:pt idx="34">
                  <c:v>89.357399999999998</c:v>
                </c:pt>
                <c:pt idx="35">
                  <c:v>88.527299999999997</c:v>
                </c:pt>
                <c:pt idx="36">
                  <c:v>88.4178</c:v>
                </c:pt>
                <c:pt idx="37">
                  <c:v>87.862399999999994</c:v>
                </c:pt>
                <c:pt idx="38">
                  <c:v>87.83</c:v>
                </c:pt>
                <c:pt idx="39">
                  <c:v>87.942800000000005</c:v>
                </c:pt>
                <c:pt idx="40">
                  <c:v>88.399900000000002</c:v>
                </c:pt>
                <c:pt idx="41">
                  <c:v>88.542199999999994</c:v>
                </c:pt>
                <c:pt idx="42">
                  <c:v>87.592200000000005</c:v>
                </c:pt>
                <c:pt idx="43">
                  <c:v>87.029300000000006</c:v>
                </c:pt>
                <c:pt idx="44">
                  <c:v>87.977000000000004</c:v>
                </c:pt>
                <c:pt idx="45">
                  <c:v>88.269199999999998</c:v>
                </c:pt>
                <c:pt idx="46">
                  <c:v>88.367500000000007</c:v>
                </c:pt>
                <c:pt idx="47">
                  <c:v>88.750200000000007</c:v>
                </c:pt>
                <c:pt idx="48">
                  <c:v>88.595799999999997</c:v>
                </c:pt>
                <c:pt idx="49">
                  <c:v>88.376000000000005</c:v>
                </c:pt>
                <c:pt idx="50">
                  <c:v>88.157899999999998</c:v>
                </c:pt>
                <c:pt idx="51">
                  <c:v>88.383899999999997</c:v>
                </c:pt>
                <c:pt idx="52">
                  <c:v>88.948700000000002</c:v>
                </c:pt>
                <c:pt idx="53">
                  <c:v>88.543199999999999</c:v>
                </c:pt>
                <c:pt idx="54">
                  <c:v>88.485699999999994</c:v>
                </c:pt>
                <c:pt idx="55">
                  <c:v>87.2102</c:v>
                </c:pt>
                <c:pt idx="56">
                  <c:v>86.854200000000006</c:v>
                </c:pt>
                <c:pt idx="57">
                  <c:v>86.343400000000003</c:v>
                </c:pt>
                <c:pt idx="58">
                  <c:v>87.3673</c:v>
                </c:pt>
                <c:pt idx="59">
                  <c:v>87.529399999999995</c:v>
                </c:pt>
                <c:pt idx="60">
                  <c:v>87.171800000000005</c:v>
                </c:pt>
                <c:pt idx="61">
                  <c:v>86.067300000000003</c:v>
                </c:pt>
                <c:pt idx="62">
                  <c:v>87.514399999999995</c:v>
                </c:pt>
                <c:pt idx="63">
                  <c:v>87.667199999999994</c:v>
                </c:pt>
                <c:pt idx="64">
                  <c:v>87.752399999999994</c:v>
                </c:pt>
                <c:pt idx="65">
                  <c:v>87.598699999999994</c:v>
                </c:pt>
                <c:pt idx="66">
                  <c:v>86.290999999999997</c:v>
                </c:pt>
                <c:pt idx="67">
                  <c:v>86.330500000000001</c:v>
                </c:pt>
                <c:pt idx="68">
                  <c:v>86.403199999999998</c:v>
                </c:pt>
                <c:pt idx="69">
                  <c:v>86.156899999999993</c:v>
                </c:pt>
                <c:pt idx="70">
                  <c:v>86.568700000000007</c:v>
                </c:pt>
                <c:pt idx="71">
                  <c:v>87.133300000000006</c:v>
                </c:pt>
                <c:pt idx="72">
                  <c:v>86.835599999999999</c:v>
                </c:pt>
                <c:pt idx="73">
                  <c:v>87.6267</c:v>
                </c:pt>
                <c:pt idx="74">
                  <c:v>87.922399999999996</c:v>
                </c:pt>
                <c:pt idx="75">
                  <c:v>88.176100000000005</c:v>
                </c:pt>
                <c:pt idx="76">
                  <c:v>88.143100000000004</c:v>
                </c:pt>
                <c:pt idx="77">
                  <c:v>87.566100000000006</c:v>
                </c:pt>
                <c:pt idx="78">
                  <c:v>87.4726</c:v>
                </c:pt>
                <c:pt idx="79">
                  <c:v>88.026600000000002</c:v>
                </c:pt>
                <c:pt idx="80">
                  <c:v>88.3476</c:v>
                </c:pt>
                <c:pt idx="81">
                  <c:v>87.041600000000003</c:v>
                </c:pt>
                <c:pt idx="82">
                  <c:v>86.918599999999998</c:v>
                </c:pt>
                <c:pt idx="83">
                  <c:v>86.001499999999993</c:v>
                </c:pt>
                <c:pt idx="84">
                  <c:v>84.277299999999997</c:v>
                </c:pt>
                <c:pt idx="85">
                  <c:v>86.066000000000003</c:v>
                </c:pt>
                <c:pt idx="86">
                  <c:v>85.031899999999993</c:v>
                </c:pt>
                <c:pt idx="87">
                  <c:v>85.357699999999994</c:v>
                </c:pt>
                <c:pt idx="88">
                  <c:v>85.138599999999997</c:v>
                </c:pt>
                <c:pt idx="89">
                  <c:v>84.885099999999994</c:v>
                </c:pt>
                <c:pt idx="90">
                  <c:v>83.022000000000006</c:v>
                </c:pt>
                <c:pt idx="91">
                  <c:v>82.727099999999993</c:v>
                </c:pt>
                <c:pt idx="92">
                  <c:v>82.766300000000001</c:v>
                </c:pt>
                <c:pt idx="93">
                  <c:v>83.278999999999996</c:v>
                </c:pt>
                <c:pt idx="94">
                  <c:v>82.3429</c:v>
                </c:pt>
                <c:pt idx="95">
                  <c:v>82.375399999999999</c:v>
                </c:pt>
                <c:pt idx="96">
                  <c:v>83.84</c:v>
                </c:pt>
                <c:pt idx="97">
                  <c:v>83.908699999999996</c:v>
                </c:pt>
                <c:pt idx="98">
                  <c:v>83.781400000000005</c:v>
                </c:pt>
                <c:pt idx="99">
                  <c:v>83.822400000000002</c:v>
                </c:pt>
                <c:pt idx="100">
                  <c:v>83.294300000000007</c:v>
                </c:pt>
                <c:pt idx="101">
                  <c:v>83.605400000000003</c:v>
                </c:pt>
                <c:pt idx="102">
                  <c:v>83.888900000000007</c:v>
                </c:pt>
                <c:pt idx="103">
                  <c:v>84.513300000000001</c:v>
                </c:pt>
                <c:pt idx="104">
                  <c:v>84.9011</c:v>
                </c:pt>
                <c:pt idx="105">
                  <c:v>85.911900000000003</c:v>
                </c:pt>
                <c:pt idx="106">
                  <c:v>86.216200000000001</c:v>
                </c:pt>
                <c:pt idx="107">
                  <c:v>85.540499999999994</c:v>
                </c:pt>
                <c:pt idx="108">
                  <c:v>86.0107</c:v>
                </c:pt>
                <c:pt idx="109">
                  <c:v>86.150099999999995</c:v>
                </c:pt>
                <c:pt idx="110">
                  <c:v>86.1053</c:v>
                </c:pt>
                <c:pt idx="111">
                  <c:v>86.021500000000003</c:v>
                </c:pt>
                <c:pt idx="112">
                  <c:v>86.8947</c:v>
                </c:pt>
                <c:pt idx="113">
                  <c:v>86.553899999999999</c:v>
                </c:pt>
                <c:pt idx="114">
                  <c:v>86.387699999999995</c:v>
                </c:pt>
                <c:pt idx="115">
                  <c:v>86.340500000000006</c:v>
                </c:pt>
                <c:pt idx="116">
                  <c:v>86.281300000000002</c:v>
                </c:pt>
                <c:pt idx="117">
                  <c:v>85.649000000000001</c:v>
                </c:pt>
                <c:pt idx="118">
                  <c:v>86.176400000000001</c:v>
                </c:pt>
                <c:pt idx="119">
                  <c:v>86.757099999999994</c:v>
                </c:pt>
                <c:pt idx="120">
                  <c:v>85.641400000000004</c:v>
                </c:pt>
                <c:pt idx="121">
                  <c:v>85.512900000000002</c:v>
                </c:pt>
                <c:pt idx="122">
                  <c:v>85.715900000000005</c:v>
                </c:pt>
                <c:pt idx="123">
                  <c:v>85.150800000000004</c:v>
                </c:pt>
                <c:pt idx="124">
                  <c:v>85.604600000000005</c:v>
                </c:pt>
                <c:pt idx="125">
                  <c:v>85.341999999999999</c:v>
                </c:pt>
                <c:pt idx="126">
                  <c:v>85.223799999999997</c:v>
                </c:pt>
                <c:pt idx="127">
                  <c:v>85.142399999999995</c:v>
                </c:pt>
                <c:pt idx="128">
                  <c:v>84.143500000000003</c:v>
                </c:pt>
                <c:pt idx="129">
                  <c:v>84.861500000000007</c:v>
                </c:pt>
                <c:pt idx="130">
                  <c:v>84.322100000000006</c:v>
                </c:pt>
                <c:pt idx="131">
                  <c:v>85.508399999999995</c:v>
                </c:pt>
                <c:pt idx="132">
                  <c:v>84.908100000000005</c:v>
                </c:pt>
                <c:pt idx="133">
                  <c:v>84.287599999999998</c:v>
                </c:pt>
                <c:pt idx="134">
                  <c:v>83.606300000000005</c:v>
                </c:pt>
                <c:pt idx="135">
                  <c:v>83.235699999999994</c:v>
                </c:pt>
                <c:pt idx="136">
                  <c:v>83.082899999999995</c:v>
                </c:pt>
                <c:pt idx="137">
                  <c:v>82.672200000000004</c:v>
                </c:pt>
                <c:pt idx="138">
                  <c:v>83.019599999999997</c:v>
                </c:pt>
                <c:pt idx="139">
                  <c:v>84.083399999999997</c:v>
                </c:pt>
                <c:pt idx="140">
                  <c:v>84.024199999999993</c:v>
                </c:pt>
                <c:pt idx="141">
                  <c:v>85.147800000000004</c:v>
                </c:pt>
                <c:pt idx="142">
                  <c:v>83.930400000000006</c:v>
                </c:pt>
                <c:pt idx="143">
                  <c:v>83.386499999999998</c:v>
                </c:pt>
                <c:pt idx="144">
                  <c:v>82.988900000000001</c:v>
                </c:pt>
                <c:pt idx="145">
                  <c:v>82.100700000000003</c:v>
                </c:pt>
                <c:pt idx="146">
                  <c:v>82.7727</c:v>
                </c:pt>
                <c:pt idx="147">
                  <c:v>83.655100000000004</c:v>
                </c:pt>
                <c:pt idx="148">
                  <c:v>84.459299999999999</c:v>
                </c:pt>
                <c:pt idx="149">
                  <c:v>84.9846</c:v>
                </c:pt>
                <c:pt idx="150">
                  <c:v>85.0535</c:v>
                </c:pt>
                <c:pt idx="151">
                  <c:v>85.069800000000001</c:v>
                </c:pt>
                <c:pt idx="152">
                  <c:v>86.073400000000007</c:v>
                </c:pt>
                <c:pt idx="153">
                  <c:v>85.670400000000001</c:v>
                </c:pt>
                <c:pt idx="154">
                  <c:v>86.236400000000003</c:v>
                </c:pt>
                <c:pt idx="155">
                  <c:v>86.740700000000004</c:v>
                </c:pt>
                <c:pt idx="156">
                  <c:v>85.871899999999997</c:v>
                </c:pt>
                <c:pt idx="157">
                  <c:v>85.722700000000003</c:v>
                </c:pt>
                <c:pt idx="158">
                  <c:v>85.238500000000002</c:v>
                </c:pt>
                <c:pt idx="159">
                  <c:v>84.055499999999995</c:v>
                </c:pt>
                <c:pt idx="160">
                  <c:v>83.974299999999999</c:v>
                </c:pt>
                <c:pt idx="161">
                  <c:v>83.229299999999995</c:v>
                </c:pt>
                <c:pt idx="162">
                  <c:v>83.752099999999999</c:v>
                </c:pt>
                <c:pt idx="163">
                  <c:v>84.3172</c:v>
                </c:pt>
                <c:pt idx="164">
                  <c:v>83.854299999999995</c:v>
                </c:pt>
                <c:pt idx="165">
                  <c:v>83.907799999999995</c:v>
                </c:pt>
                <c:pt idx="166">
                  <c:v>83.547200000000004</c:v>
                </c:pt>
                <c:pt idx="167">
                  <c:v>82.729900000000001</c:v>
                </c:pt>
                <c:pt idx="168">
                  <c:v>82.897400000000005</c:v>
                </c:pt>
                <c:pt idx="169">
                  <c:v>84.280900000000003</c:v>
                </c:pt>
                <c:pt idx="170">
                  <c:v>83.398399999999995</c:v>
                </c:pt>
                <c:pt idx="171">
                  <c:v>83.126999999999995</c:v>
                </c:pt>
                <c:pt idx="172">
                  <c:v>83.721500000000006</c:v>
                </c:pt>
                <c:pt idx="173">
                  <c:v>83.923599999999993</c:v>
                </c:pt>
                <c:pt idx="174">
                  <c:v>84.635199999999998</c:v>
                </c:pt>
                <c:pt idx="175">
                  <c:v>84.951999999999998</c:v>
                </c:pt>
                <c:pt idx="176">
                  <c:v>85.156300000000002</c:v>
                </c:pt>
                <c:pt idx="177">
                  <c:v>85.748400000000004</c:v>
                </c:pt>
                <c:pt idx="178">
                  <c:v>86.526600000000002</c:v>
                </c:pt>
                <c:pt idx="179">
                  <c:v>86.698400000000007</c:v>
                </c:pt>
                <c:pt idx="180">
                  <c:v>87.119600000000005</c:v>
                </c:pt>
                <c:pt idx="181">
                  <c:v>86.976699999999994</c:v>
                </c:pt>
                <c:pt idx="182">
                  <c:v>87.488900000000001</c:v>
                </c:pt>
                <c:pt idx="183">
                  <c:v>86.081500000000005</c:v>
                </c:pt>
                <c:pt idx="184">
                  <c:v>86.402299999999997</c:v>
                </c:pt>
                <c:pt idx="185">
                  <c:v>85.5334</c:v>
                </c:pt>
                <c:pt idx="186">
                  <c:v>87.527199999999993</c:v>
                </c:pt>
                <c:pt idx="187">
                  <c:v>87.428200000000004</c:v>
                </c:pt>
                <c:pt idx="188">
                  <c:v>89.678799999999995</c:v>
                </c:pt>
                <c:pt idx="189">
                  <c:v>88.842299999999994</c:v>
                </c:pt>
                <c:pt idx="190">
                  <c:v>89.298400000000001</c:v>
                </c:pt>
                <c:pt idx="191">
                  <c:v>88.301599999999993</c:v>
                </c:pt>
                <c:pt idx="192">
                  <c:v>86.655799999999999</c:v>
                </c:pt>
                <c:pt idx="193">
                  <c:v>86.955699999999993</c:v>
                </c:pt>
                <c:pt idx="194">
                  <c:v>88.345399999999998</c:v>
                </c:pt>
                <c:pt idx="195">
                  <c:v>88.018900000000002</c:v>
                </c:pt>
                <c:pt idx="196">
                  <c:v>88.583299999999994</c:v>
                </c:pt>
                <c:pt idx="197">
                  <c:v>89.453800000000001</c:v>
                </c:pt>
                <c:pt idx="198">
                  <c:v>88.721199999999996</c:v>
                </c:pt>
                <c:pt idx="199">
                  <c:v>87.233900000000006</c:v>
                </c:pt>
                <c:pt idx="200">
                  <c:v>88.469200000000001</c:v>
                </c:pt>
                <c:pt idx="201">
                  <c:v>88.773099999999999</c:v>
                </c:pt>
                <c:pt idx="202">
                  <c:v>89.083699999999993</c:v>
                </c:pt>
                <c:pt idx="203">
                  <c:v>88.942700000000002</c:v>
                </c:pt>
                <c:pt idx="204">
                  <c:v>89.877200000000002</c:v>
                </c:pt>
                <c:pt idx="205">
                  <c:v>89.936800000000005</c:v>
                </c:pt>
                <c:pt idx="206">
                  <c:v>88.288600000000002</c:v>
                </c:pt>
                <c:pt idx="207">
                  <c:v>88.113699999999994</c:v>
                </c:pt>
                <c:pt idx="208">
                  <c:v>87.141099999999994</c:v>
                </c:pt>
                <c:pt idx="209">
                  <c:v>86.706199999999995</c:v>
                </c:pt>
                <c:pt idx="210">
                  <c:v>85.908500000000004</c:v>
                </c:pt>
                <c:pt idx="211">
                  <c:v>85.338300000000004</c:v>
                </c:pt>
                <c:pt idx="212">
                  <c:v>85.467500000000001</c:v>
                </c:pt>
                <c:pt idx="213">
                  <c:v>85.353999999999999</c:v>
                </c:pt>
                <c:pt idx="214">
                  <c:v>85.188900000000004</c:v>
                </c:pt>
                <c:pt idx="215">
                  <c:v>84.173299999999998</c:v>
                </c:pt>
                <c:pt idx="216">
                  <c:v>84.376300000000001</c:v>
                </c:pt>
                <c:pt idx="217">
                  <c:v>84.866600000000005</c:v>
                </c:pt>
                <c:pt idx="218">
                  <c:v>84.683199999999999</c:v>
                </c:pt>
                <c:pt idx="219">
                  <c:v>85.3994</c:v>
                </c:pt>
                <c:pt idx="220">
                  <c:v>85.716700000000003</c:v>
                </c:pt>
                <c:pt idx="221">
                  <c:v>85.140299999999996</c:v>
                </c:pt>
                <c:pt idx="222">
                  <c:v>84.466300000000004</c:v>
                </c:pt>
                <c:pt idx="223">
                  <c:v>84.750399999999999</c:v>
                </c:pt>
                <c:pt idx="224">
                  <c:v>84.713800000000006</c:v>
                </c:pt>
                <c:pt idx="225">
                  <c:v>83.360600000000005</c:v>
                </c:pt>
                <c:pt idx="226">
                  <c:v>81.757599999999996</c:v>
                </c:pt>
                <c:pt idx="227">
                  <c:v>83.393000000000001</c:v>
                </c:pt>
                <c:pt idx="228">
                  <c:v>82.706599999999995</c:v>
                </c:pt>
                <c:pt idx="229">
                  <c:v>83.353700000000003</c:v>
                </c:pt>
                <c:pt idx="230">
                  <c:v>83.577500000000001</c:v>
                </c:pt>
                <c:pt idx="231">
                  <c:v>84.72</c:v>
                </c:pt>
                <c:pt idx="232">
                  <c:v>85.520499999999998</c:v>
                </c:pt>
                <c:pt idx="233">
                  <c:v>84.837699999999998</c:v>
                </c:pt>
                <c:pt idx="234">
                  <c:v>84.308999999999997</c:v>
                </c:pt>
                <c:pt idx="235">
                  <c:v>83.838700000000003</c:v>
                </c:pt>
                <c:pt idx="236">
                  <c:v>82.880600000000001</c:v>
                </c:pt>
                <c:pt idx="237">
                  <c:v>83.053700000000006</c:v>
                </c:pt>
                <c:pt idx="238">
                  <c:v>83.587999999999994</c:v>
                </c:pt>
                <c:pt idx="239">
                  <c:v>84.177300000000002</c:v>
                </c:pt>
                <c:pt idx="240">
                  <c:v>82.654300000000006</c:v>
                </c:pt>
                <c:pt idx="241">
                  <c:v>80.678200000000004</c:v>
                </c:pt>
                <c:pt idx="242">
                  <c:v>80.392700000000005</c:v>
                </c:pt>
                <c:pt idx="243">
                  <c:v>80.646199999999993</c:v>
                </c:pt>
                <c:pt idx="244">
                  <c:v>81.244600000000005</c:v>
                </c:pt>
                <c:pt idx="245">
                  <c:v>80.891099999999994</c:v>
                </c:pt>
                <c:pt idx="246">
                  <c:v>79.282499999999999</c:v>
                </c:pt>
                <c:pt idx="247">
                  <c:v>79.028800000000004</c:v>
                </c:pt>
                <c:pt idx="248">
                  <c:v>77.451899999999995</c:v>
                </c:pt>
                <c:pt idx="249">
                  <c:v>77.648099999999999</c:v>
                </c:pt>
                <c:pt idx="250">
                  <c:v>76.972499999999997</c:v>
                </c:pt>
                <c:pt idx="251">
                  <c:v>77.181700000000006</c:v>
                </c:pt>
                <c:pt idx="252">
                  <c:v>77.941699999999997</c:v>
                </c:pt>
                <c:pt idx="253">
                  <c:v>78.827200000000005</c:v>
                </c:pt>
                <c:pt idx="254">
                  <c:v>78.929299999999998</c:v>
                </c:pt>
                <c:pt idx="255">
                  <c:v>79.307199999999995</c:v>
                </c:pt>
                <c:pt idx="256">
                  <c:v>79.483500000000006</c:v>
                </c:pt>
                <c:pt idx="257">
                  <c:v>79.2517</c:v>
                </c:pt>
                <c:pt idx="258">
                  <c:v>79.575699999999998</c:v>
                </c:pt>
                <c:pt idx="259">
                  <c:v>81.230099999999993</c:v>
                </c:pt>
                <c:pt idx="260">
                  <c:v>80.788499999999999</c:v>
                </c:pt>
                <c:pt idx="261">
                  <c:v>80.755700000000004</c:v>
                </c:pt>
                <c:pt idx="262">
                  <c:v>81.288799999999995</c:v>
                </c:pt>
                <c:pt idx="263">
                  <c:v>79.599900000000005</c:v>
                </c:pt>
                <c:pt idx="264">
                  <c:v>78.820700000000002</c:v>
                </c:pt>
                <c:pt idx="265">
                  <c:v>79.429500000000004</c:v>
                </c:pt>
                <c:pt idx="266">
                  <c:v>79.947100000000006</c:v>
                </c:pt>
                <c:pt idx="267">
                  <c:v>79.379599999999996</c:v>
                </c:pt>
                <c:pt idx="268">
                  <c:v>79.444500000000005</c:v>
                </c:pt>
                <c:pt idx="269">
                  <c:v>78.424099999999996</c:v>
                </c:pt>
                <c:pt idx="270">
                  <c:v>79.296000000000006</c:v>
                </c:pt>
                <c:pt idx="271">
                  <c:v>78.382800000000003</c:v>
                </c:pt>
                <c:pt idx="272">
                  <c:v>76.869200000000006</c:v>
                </c:pt>
                <c:pt idx="273">
                  <c:v>76.460599999999999</c:v>
                </c:pt>
                <c:pt idx="274">
                  <c:v>76.084699999999998</c:v>
                </c:pt>
                <c:pt idx="275">
                  <c:v>75.946299999999994</c:v>
                </c:pt>
                <c:pt idx="276">
                  <c:v>75.461699999999993</c:v>
                </c:pt>
                <c:pt idx="277">
                  <c:v>75.744299999999996</c:v>
                </c:pt>
                <c:pt idx="278">
                  <c:v>75.774699999999996</c:v>
                </c:pt>
                <c:pt idx="279">
                  <c:v>75.175299999999993</c:v>
                </c:pt>
                <c:pt idx="280">
                  <c:v>75.973200000000006</c:v>
                </c:pt>
                <c:pt idx="281">
                  <c:v>75.105800000000002</c:v>
                </c:pt>
                <c:pt idx="282">
                  <c:v>75.745500000000007</c:v>
                </c:pt>
                <c:pt idx="283">
                  <c:v>76.028800000000004</c:v>
                </c:pt>
                <c:pt idx="284">
                  <c:v>74.7166</c:v>
                </c:pt>
                <c:pt idx="285">
                  <c:v>75.438900000000004</c:v>
                </c:pt>
                <c:pt idx="286">
                  <c:v>73.957800000000006</c:v>
                </c:pt>
                <c:pt idx="287">
                  <c:v>73.915999999999997</c:v>
                </c:pt>
                <c:pt idx="288">
                  <c:v>74.002799999999993</c:v>
                </c:pt>
                <c:pt idx="289">
                  <c:v>75.504800000000003</c:v>
                </c:pt>
                <c:pt idx="290">
                  <c:v>75.596500000000006</c:v>
                </c:pt>
                <c:pt idx="291">
                  <c:v>76.141900000000007</c:v>
                </c:pt>
                <c:pt idx="292">
                  <c:v>76.271799999999999</c:v>
                </c:pt>
                <c:pt idx="293">
                  <c:v>74.849999999999994</c:v>
                </c:pt>
                <c:pt idx="294">
                  <c:v>75.952600000000004</c:v>
                </c:pt>
                <c:pt idx="295">
                  <c:v>77.223399999999998</c:v>
                </c:pt>
                <c:pt idx="296">
                  <c:v>76.104900000000001</c:v>
                </c:pt>
                <c:pt idx="297">
                  <c:v>76.119799999999998</c:v>
                </c:pt>
                <c:pt idx="298">
                  <c:v>75.498999999999995</c:v>
                </c:pt>
                <c:pt idx="299">
                  <c:v>74.495900000000006</c:v>
                </c:pt>
                <c:pt idx="300">
                  <c:v>75.235500000000002</c:v>
                </c:pt>
                <c:pt idx="301">
                  <c:v>73.791499999999999</c:v>
                </c:pt>
                <c:pt idx="302">
                  <c:v>72.875900000000001</c:v>
                </c:pt>
                <c:pt idx="303">
                  <c:v>73.609800000000007</c:v>
                </c:pt>
                <c:pt idx="304">
                  <c:v>73.487700000000004</c:v>
                </c:pt>
                <c:pt idx="305">
                  <c:v>74.559399999999997</c:v>
                </c:pt>
                <c:pt idx="306">
                  <c:v>74.63</c:v>
                </c:pt>
                <c:pt idx="307">
                  <c:v>74.433800000000005</c:v>
                </c:pt>
                <c:pt idx="308">
                  <c:v>75.122100000000003</c:v>
                </c:pt>
                <c:pt idx="309">
                  <c:v>76.726500000000001</c:v>
                </c:pt>
                <c:pt idx="310">
                  <c:v>76.6828</c:v>
                </c:pt>
                <c:pt idx="311">
                  <c:v>76.641400000000004</c:v>
                </c:pt>
                <c:pt idx="312">
                  <c:v>77.662800000000004</c:v>
                </c:pt>
                <c:pt idx="313">
                  <c:v>77.9054</c:v>
                </c:pt>
                <c:pt idx="314">
                  <c:v>78.558800000000005</c:v>
                </c:pt>
                <c:pt idx="315">
                  <c:v>78.088099999999997</c:v>
                </c:pt>
                <c:pt idx="316">
                  <c:v>79.041799999999995</c:v>
                </c:pt>
                <c:pt idx="317">
                  <c:v>77.879000000000005</c:v>
                </c:pt>
                <c:pt idx="318">
                  <c:v>78.485100000000003</c:v>
                </c:pt>
                <c:pt idx="319">
                  <c:v>78.105500000000006</c:v>
                </c:pt>
                <c:pt idx="320">
                  <c:v>77.168999999999997</c:v>
                </c:pt>
                <c:pt idx="321">
                  <c:v>77.698499999999996</c:v>
                </c:pt>
                <c:pt idx="322">
                  <c:v>77.452299999999994</c:v>
                </c:pt>
                <c:pt idx="323">
                  <c:v>76.604500000000002</c:v>
                </c:pt>
                <c:pt idx="324">
                  <c:v>77.080699999999993</c:v>
                </c:pt>
                <c:pt idx="325">
                  <c:v>77.578100000000006</c:v>
                </c:pt>
                <c:pt idx="326">
                  <c:v>77.960899999999995</c:v>
                </c:pt>
                <c:pt idx="327">
                  <c:v>78.422399999999996</c:v>
                </c:pt>
                <c:pt idx="328">
                  <c:v>79.154399999999995</c:v>
                </c:pt>
                <c:pt idx="329">
                  <c:v>79.246600000000001</c:v>
                </c:pt>
                <c:pt idx="330">
                  <c:v>79.168999999999997</c:v>
                </c:pt>
                <c:pt idx="331">
                  <c:v>79.506399999999999</c:v>
                </c:pt>
                <c:pt idx="332">
                  <c:v>81.701599999999999</c:v>
                </c:pt>
                <c:pt idx="333">
                  <c:v>81.297799999999995</c:v>
                </c:pt>
                <c:pt idx="334">
                  <c:v>80.370800000000003</c:v>
                </c:pt>
                <c:pt idx="335">
                  <c:v>81.753299999999996</c:v>
                </c:pt>
                <c:pt idx="336">
                  <c:v>81.078100000000006</c:v>
                </c:pt>
                <c:pt idx="337">
                  <c:v>81.096199999999996</c:v>
                </c:pt>
                <c:pt idx="338">
                  <c:v>82.2684</c:v>
                </c:pt>
                <c:pt idx="339">
                  <c:v>82.144599999999997</c:v>
                </c:pt>
                <c:pt idx="340">
                  <c:v>81.499899999999997</c:v>
                </c:pt>
                <c:pt idx="341">
                  <c:v>81.423400000000001</c:v>
                </c:pt>
                <c:pt idx="342">
                  <c:v>81.741200000000006</c:v>
                </c:pt>
                <c:pt idx="343">
                  <c:v>81.5672</c:v>
                </c:pt>
                <c:pt idx="344">
                  <c:v>81.742199999999997</c:v>
                </c:pt>
                <c:pt idx="345">
                  <c:v>82.460099999999997</c:v>
                </c:pt>
                <c:pt idx="346">
                  <c:v>82.433199999999999</c:v>
                </c:pt>
                <c:pt idx="347">
                  <c:v>82.869100000000003</c:v>
                </c:pt>
                <c:pt idx="348">
                  <c:v>83.617999999999995</c:v>
                </c:pt>
                <c:pt idx="349">
                  <c:v>84.044600000000003</c:v>
                </c:pt>
                <c:pt idx="350">
                  <c:v>84.236900000000006</c:v>
                </c:pt>
                <c:pt idx="351">
                  <c:v>85.2346</c:v>
                </c:pt>
                <c:pt idx="352">
                  <c:v>85.825999999999993</c:v>
                </c:pt>
                <c:pt idx="353">
                  <c:v>86.514799999999994</c:v>
                </c:pt>
                <c:pt idx="354">
                  <c:v>87.692999999999998</c:v>
                </c:pt>
                <c:pt idx="355">
                  <c:v>86.868399999999994</c:v>
                </c:pt>
                <c:pt idx="356">
                  <c:v>87.428899999999999</c:v>
                </c:pt>
                <c:pt idx="357">
                  <c:v>86.867199999999997</c:v>
                </c:pt>
                <c:pt idx="358">
                  <c:v>87.641999999999996</c:v>
                </c:pt>
                <c:pt idx="359">
                  <c:v>86.623400000000004</c:v>
                </c:pt>
                <c:pt idx="360">
                  <c:v>86.961399999999998</c:v>
                </c:pt>
                <c:pt idx="361">
                  <c:v>87.446399999999997</c:v>
                </c:pt>
                <c:pt idx="362">
                  <c:v>88.174800000000005</c:v>
                </c:pt>
                <c:pt idx="363">
                  <c:v>88.184299999999993</c:v>
                </c:pt>
                <c:pt idx="364">
                  <c:v>88.828999999999994</c:v>
                </c:pt>
                <c:pt idx="365">
                  <c:v>88.519199999999998</c:v>
                </c:pt>
                <c:pt idx="366">
                  <c:v>89.783500000000004</c:v>
                </c:pt>
                <c:pt idx="367">
                  <c:v>89.838999999999999</c:v>
                </c:pt>
                <c:pt idx="368">
                  <c:v>90.137600000000006</c:v>
                </c:pt>
                <c:pt idx="369">
                  <c:v>89.981899999999996</c:v>
                </c:pt>
                <c:pt idx="370">
                  <c:v>90.052400000000006</c:v>
                </c:pt>
                <c:pt idx="371">
                  <c:v>91.008399999999995</c:v>
                </c:pt>
                <c:pt idx="372">
                  <c:v>90.345200000000006</c:v>
                </c:pt>
                <c:pt idx="373">
                  <c:v>90.108900000000006</c:v>
                </c:pt>
                <c:pt idx="374">
                  <c:v>90.267499999999998</c:v>
                </c:pt>
                <c:pt idx="375">
                  <c:v>88.800700000000006</c:v>
                </c:pt>
                <c:pt idx="376">
                  <c:v>87.891400000000004</c:v>
                </c:pt>
                <c:pt idx="377">
                  <c:v>87.130499999999998</c:v>
                </c:pt>
                <c:pt idx="378">
                  <c:v>87.821399999999997</c:v>
                </c:pt>
                <c:pt idx="379">
                  <c:v>87.561800000000005</c:v>
                </c:pt>
                <c:pt idx="380">
                  <c:v>87.334400000000002</c:v>
                </c:pt>
                <c:pt idx="381">
                  <c:v>88.494200000000006</c:v>
                </c:pt>
                <c:pt idx="382">
                  <c:v>87.870400000000004</c:v>
                </c:pt>
                <c:pt idx="383">
                  <c:v>87.186000000000007</c:v>
                </c:pt>
                <c:pt idx="384">
                  <c:v>87.669300000000007</c:v>
                </c:pt>
                <c:pt idx="385">
                  <c:v>88.561499999999995</c:v>
                </c:pt>
                <c:pt idx="386">
                  <c:v>87.727199999999996</c:v>
                </c:pt>
                <c:pt idx="387">
                  <c:v>89.031400000000005</c:v>
                </c:pt>
                <c:pt idx="388">
                  <c:v>89.4589</c:v>
                </c:pt>
                <c:pt idx="389">
                  <c:v>88.570999999999998</c:v>
                </c:pt>
                <c:pt idx="390">
                  <c:v>88.572100000000006</c:v>
                </c:pt>
                <c:pt idx="391">
                  <c:v>88.9268</c:v>
                </c:pt>
                <c:pt idx="392">
                  <c:v>89.146199999999993</c:v>
                </c:pt>
                <c:pt idx="393">
                  <c:v>88.220100000000002</c:v>
                </c:pt>
                <c:pt idx="394">
                  <c:v>89.350300000000004</c:v>
                </c:pt>
                <c:pt idx="395">
                  <c:v>88.489400000000003</c:v>
                </c:pt>
                <c:pt idx="396">
                  <c:v>89.419499999999999</c:v>
                </c:pt>
                <c:pt idx="397">
                  <c:v>88.928100000000001</c:v>
                </c:pt>
                <c:pt idx="398">
                  <c:v>88.738</c:v>
                </c:pt>
                <c:pt idx="399">
                  <c:v>90.9328</c:v>
                </c:pt>
                <c:pt idx="400">
                  <c:v>89.357900000000001</c:v>
                </c:pt>
                <c:pt idx="401">
                  <c:v>87.721599999999995</c:v>
                </c:pt>
                <c:pt idx="402">
                  <c:v>85.138300000000001</c:v>
                </c:pt>
                <c:pt idx="403">
                  <c:v>86.275199999999998</c:v>
                </c:pt>
                <c:pt idx="404">
                  <c:v>85.853099999999998</c:v>
                </c:pt>
                <c:pt idx="405">
                  <c:v>87.8048</c:v>
                </c:pt>
                <c:pt idx="406">
                  <c:v>89.229699999999994</c:v>
                </c:pt>
                <c:pt idx="407">
                  <c:v>88.526399999999995</c:v>
                </c:pt>
                <c:pt idx="408">
                  <c:v>89.293800000000005</c:v>
                </c:pt>
                <c:pt idx="409">
                  <c:v>89.814700000000002</c:v>
                </c:pt>
                <c:pt idx="410">
                  <c:v>90.3553</c:v>
                </c:pt>
                <c:pt idx="411">
                  <c:v>90.453800000000001</c:v>
                </c:pt>
                <c:pt idx="412">
                  <c:v>90.831500000000005</c:v>
                </c:pt>
                <c:pt idx="413">
                  <c:v>91.117800000000003</c:v>
                </c:pt>
                <c:pt idx="414">
                  <c:v>92.622699999999995</c:v>
                </c:pt>
                <c:pt idx="415">
                  <c:v>90.479900000000001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580648"/>
        <c:axId val="617580256"/>
      </c:lineChart>
      <c:dateAx>
        <c:axId val="6175794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7579864"/>
        <c:crosses val="autoZero"/>
        <c:auto val="1"/>
        <c:lblOffset val="100"/>
        <c:baseTimeUnit val="days"/>
      </c:dateAx>
      <c:valAx>
        <c:axId val="617579864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7579472"/>
        <c:crosses val="autoZero"/>
        <c:crossBetween val="between"/>
      </c:valAx>
      <c:valAx>
        <c:axId val="617580256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7580648"/>
        <c:crosses val="max"/>
        <c:crossBetween val="between"/>
        <c:majorUnit val="5"/>
      </c:valAx>
      <c:catAx>
        <c:axId val="617580648"/>
        <c:scaling>
          <c:orientation val="minMax"/>
        </c:scaling>
        <c:delete val="1"/>
        <c:axPos val="b"/>
        <c:majorTickMark val="out"/>
        <c:minorTickMark val="none"/>
        <c:tickLblPos val="nextTo"/>
        <c:crossAx val="61758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518398548102713"/>
          <c:y val="0.15060240963855423"/>
          <c:w val="0.53331265758082214"/>
          <c:h val="0.1713177117920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50 + 51'!$B$22</c:f>
              <c:strCache>
                <c:ptCount val="1"/>
                <c:pt idx="0">
                  <c:v>daňová medzera na DPH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4.1666666666666678E-2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666666666666678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66666666666664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277777777777777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777777777777776E-2"/>
                  <c:y val="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111111111111110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000000000000051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333333333333333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7222222222222325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7222222222222325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1666666666666768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777777777777788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2222222222222223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0555555555555659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1111111111111112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50 + 51'!$C$21:$S$21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'Graf 50 + 51'!$C$22:$S$22</c:f>
              <c:numCache>
                <c:formatCode>0.0</c:formatCode>
                <c:ptCount val="17"/>
                <c:pt idx="0">
                  <c:v>20.775559748625561</c:v>
                </c:pt>
                <c:pt idx="1">
                  <c:v>18.187786430225263</c:v>
                </c:pt>
                <c:pt idx="2">
                  <c:v>20.493409739518064</c:v>
                </c:pt>
                <c:pt idx="3">
                  <c:v>15.755854037187575</c:v>
                </c:pt>
                <c:pt idx="4">
                  <c:v>23.505997745706981</c:v>
                </c:pt>
                <c:pt idx="5">
                  <c:v>21.512613425555564</c:v>
                </c:pt>
                <c:pt idx="6">
                  <c:v>26.620713930615381</c:v>
                </c:pt>
                <c:pt idx="7">
                  <c:v>31.445393334253612</c:v>
                </c:pt>
                <c:pt idx="8">
                  <c:v>31.279497216081154</c:v>
                </c:pt>
                <c:pt idx="9">
                  <c:v>34.884118077650236</c:v>
                </c:pt>
                <c:pt idx="10">
                  <c:v>35.562987066186544</c:v>
                </c:pt>
                <c:pt idx="11">
                  <c:v>38.219907893613644</c:v>
                </c:pt>
                <c:pt idx="12">
                  <c:v>40.957819263797788</c:v>
                </c:pt>
                <c:pt idx="13">
                  <c:v>37.013535189253865</c:v>
                </c:pt>
                <c:pt idx="14">
                  <c:v>33.054773301485028</c:v>
                </c:pt>
                <c:pt idx="15">
                  <c:v>31.439199916655099</c:v>
                </c:pt>
                <c:pt idx="16">
                  <c:v>28.573705974142399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13408"/>
        <c:axId val="657713800"/>
      </c:lineChart>
      <c:catAx>
        <c:axId val="65771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3800"/>
        <c:crosses val="autoZero"/>
        <c:auto val="1"/>
        <c:lblAlgn val="ctr"/>
        <c:lblOffset val="100"/>
        <c:noMultiLvlLbl val="0"/>
      </c:catAx>
      <c:valAx>
        <c:axId val="657713800"/>
        <c:scaling>
          <c:orientation val="minMax"/>
          <c:min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50 + 51'!$B$22</c:f>
              <c:strCache>
                <c:ptCount val="1"/>
                <c:pt idx="0">
                  <c:v>daňová medzera na DPH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4.1666666666666678E-2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666666666666678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66666666666664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277777777777777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777777777777776E-2"/>
                  <c:y val="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111111111111110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000000000000051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333333333333333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7222222222222325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7222222222222325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1666666666666768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777777777777788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2222222222222223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0555555555555659E-2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1111111111111112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50 + 51'!$C$21:$S$21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'Graf 50 + 51'!$C$22:$S$22</c:f>
              <c:numCache>
                <c:formatCode>0.0</c:formatCode>
                <c:ptCount val="17"/>
                <c:pt idx="0">
                  <c:v>20.775559748625561</c:v>
                </c:pt>
                <c:pt idx="1">
                  <c:v>18.187786430225263</c:v>
                </c:pt>
                <c:pt idx="2">
                  <c:v>20.493409739518064</c:v>
                </c:pt>
                <c:pt idx="3">
                  <c:v>15.755854037187575</c:v>
                </c:pt>
                <c:pt idx="4">
                  <c:v>23.505997745706981</c:v>
                </c:pt>
                <c:pt idx="5">
                  <c:v>21.512613425555564</c:v>
                </c:pt>
                <c:pt idx="6">
                  <c:v>26.620713930615381</c:v>
                </c:pt>
                <c:pt idx="7">
                  <c:v>31.445393334253612</c:v>
                </c:pt>
                <c:pt idx="8">
                  <c:v>31.279497216081154</c:v>
                </c:pt>
                <c:pt idx="9">
                  <c:v>34.884118077650236</c:v>
                </c:pt>
                <c:pt idx="10">
                  <c:v>35.562987066186544</c:v>
                </c:pt>
                <c:pt idx="11">
                  <c:v>38.219907893613644</c:v>
                </c:pt>
                <c:pt idx="12">
                  <c:v>40.957819263797788</c:v>
                </c:pt>
                <c:pt idx="13">
                  <c:v>37.013535189253865</c:v>
                </c:pt>
                <c:pt idx="14">
                  <c:v>33.054773301485028</c:v>
                </c:pt>
                <c:pt idx="15">
                  <c:v>31.439199916655099</c:v>
                </c:pt>
                <c:pt idx="16">
                  <c:v>28.573705974142399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14584"/>
        <c:axId val="657714976"/>
      </c:lineChart>
      <c:catAx>
        <c:axId val="65771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4976"/>
        <c:crosses val="autoZero"/>
        <c:auto val="1"/>
        <c:lblAlgn val="ctr"/>
        <c:lblOffset val="100"/>
        <c:noMultiLvlLbl val="0"/>
      </c:catAx>
      <c:valAx>
        <c:axId val="657714976"/>
        <c:scaling>
          <c:orientation val="minMax"/>
          <c:min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4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5062337724643E-2"/>
          <c:y val="5.2194543297746143E-2"/>
          <c:w val="0.89451244177327072"/>
          <c:h val="0.8270309449752945"/>
        </c:manualLayout>
      </c:layout>
      <c:lineChart>
        <c:grouping val="standard"/>
        <c:varyColors val="0"/>
        <c:ser>
          <c:idx val="0"/>
          <c:order val="0"/>
          <c:tx>
            <c:strRef>
              <c:f>'Graf 50 + 51'!$U$22</c:f>
              <c:strCache>
                <c:ptCount val="1"/>
                <c:pt idx="0">
                  <c:v>V4 bez SK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50 + 51'!$V$21:$AJ$21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'Graf 50 + 51'!$V$22:$AJ$22</c:f>
              <c:numCache>
                <c:formatCode>0.0</c:formatCode>
                <c:ptCount val="15"/>
                <c:pt idx="0">
                  <c:v>42.781338910400443</c:v>
                </c:pt>
                <c:pt idx="1">
                  <c:v>40.823608606892698</c:v>
                </c:pt>
                <c:pt idx="2">
                  <c:v>40.620202310994486</c:v>
                </c:pt>
                <c:pt idx="3">
                  <c:v>42.196925774187328</c:v>
                </c:pt>
                <c:pt idx="4">
                  <c:v>48.219676018211892</c:v>
                </c:pt>
                <c:pt idx="5">
                  <c:v>52.117104873856178</c:v>
                </c:pt>
                <c:pt idx="6">
                  <c:v>49.452465711116922</c:v>
                </c:pt>
                <c:pt idx="7">
                  <c:v>51.470176489556472</c:v>
                </c:pt>
                <c:pt idx="8">
                  <c:v>49.883745378416727</c:v>
                </c:pt>
                <c:pt idx="9">
                  <c:v>48.099572626551115</c:v>
                </c:pt>
                <c:pt idx="10">
                  <c:v>48.428064728323946</c:v>
                </c:pt>
                <c:pt idx="11">
                  <c:v>48.387039811080825</c:v>
                </c:pt>
                <c:pt idx="12">
                  <c:v>48.527760229992964</c:v>
                </c:pt>
                <c:pt idx="13">
                  <c:v>48.790858786876626</c:v>
                </c:pt>
                <c:pt idx="14">
                  <c:v>50.209663172081655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50 + 51'!$U$23</c:f>
              <c:strCache>
                <c:ptCount val="1"/>
                <c:pt idx="0">
                  <c:v>priemer eurozóny (19 krajín)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50 + 51'!$V$21:$AJ$21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'Graf 50 + 51'!$V$23:$AJ$23</c:f>
              <c:numCache>
                <c:formatCode>0.0</c:formatCode>
                <c:ptCount val="15"/>
                <c:pt idx="0">
                  <c:v>55.264139737549826</c:v>
                </c:pt>
                <c:pt idx="1">
                  <c:v>54.55720313182939</c:v>
                </c:pt>
                <c:pt idx="2">
                  <c:v>54.727225194879296</c:v>
                </c:pt>
                <c:pt idx="3">
                  <c:v>55.553257585104667</c:v>
                </c:pt>
                <c:pt idx="4">
                  <c:v>57.399198185399094</c:v>
                </c:pt>
                <c:pt idx="5">
                  <c:v>58.632517411868193</c:v>
                </c:pt>
                <c:pt idx="6">
                  <c:v>58.859183392271731</c:v>
                </c:pt>
                <c:pt idx="7">
                  <c:v>56.548258400246269</c:v>
                </c:pt>
                <c:pt idx="8">
                  <c:v>52.048703750834022</c:v>
                </c:pt>
                <c:pt idx="9">
                  <c:v>53.180500965333223</c:v>
                </c:pt>
                <c:pt idx="10">
                  <c:v>53.716621330373314</c:v>
                </c:pt>
                <c:pt idx="11">
                  <c:v>53.735678889476887</c:v>
                </c:pt>
                <c:pt idx="12">
                  <c:v>53.492835473220204</c:v>
                </c:pt>
                <c:pt idx="13">
                  <c:v>54.899021928353889</c:v>
                </c:pt>
                <c:pt idx="14">
                  <c:v>54.247606857590426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50 + 51'!$U$24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50 + 51'!$V$21:$AJ$21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'Graf 50 + 51'!$V$24:$AJ$24</c:f>
              <c:numCache>
                <c:formatCode>0.0</c:formatCode>
                <c:ptCount val="15"/>
                <c:pt idx="0">
                  <c:v>45.276207928715209</c:v>
                </c:pt>
                <c:pt idx="1">
                  <c:v>43.506451742111118</c:v>
                </c:pt>
                <c:pt idx="2">
                  <c:v>54.447197916238352</c:v>
                </c:pt>
                <c:pt idx="3">
                  <c:v>60.067130803699911</c:v>
                </c:pt>
                <c:pt idx="4">
                  <c:v>60.569168808598036</c:v>
                </c:pt>
                <c:pt idx="5">
                  <c:v>57.385555484904813</c:v>
                </c:pt>
                <c:pt idx="6">
                  <c:v>53.328516686896741</c:v>
                </c:pt>
                <c:pt idx="7">
                  <c:v>53.480838453825385</c:v>
                </c:pt>
                <c:pt idx="8">
                  <c:v>48.491048053411156</c:v>
                </c:pt>
                <c:pt idx="9">
                  <c:v>47.281090840180696</c:v>
                </c:pt>
                <c:pt idx="10">
                  <c:v>48.863452534122978</c:v>
                </c:pt>
                <c:pt idx="11">
                  <c:v>43.895503510249355</c:v>
                </c:pt>
                <c:pt idx="12">
                  <c:v>47.049315682635118</c:v>
                </c:pt>
                <c:pt idx="13">
                  <c:v>48.917649621223113</c:v>
                </c:pt>
                <c:pt idx="14">
                  <c:v>49.75496317635104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15760"/>
        <c:axId val="657716152"/>
      </c:lineChart>
      <c:catAx>
        <c:axId val="65771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6152"/>
        <c:crosses val="autoZero"/>
        <c:auto val="1"/>
        <c:lblAlgn val="ctr"/>
        <c:lblOffset val="100"/>
        <c:noMultiLvlLbl val="0"/>
      </c:catAx>
      <c:valAx>
        <c:axId val="657716152"/>
        <c:scaling>
          <c:orientation val="minMax"/>
          <c:min val="3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84950419840521"/>
          <c:y val="0.63523075629781145"/>
          <c:w val="0.427948022482388"/>
          <c:h val="0.21293057229056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5062337724643E-2"/>
          <c:y val="5.2194543297746143E-2"/>
          <c:w val="0.89451244177327072"/>
          <c:h val="0.8270309449752945"/>
        </c:manualLayout>
      </c:layout>
      <c:lineChart>
        <c:grouping val="standard"/>
        <c:varyColors val="0"/>
        <c:ser>
          <c:idx val="0"/>
          <c:order val="0"/>
          <c:tx>
            <c:strRef>
              <c:f>'Graf 50 + 51'!$U$46</c:f>
              <c:strCache>
                <c:ptCount val="1"/>
                <c:pt idx="0">
                  <c:v>V4 without SK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50 + 51'!$V$45:$AJ$45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'Graf 50 + 51'!$V$46:$AJ$46</c:f>
              <c:numCache>
                <c:formatCode>0.0</c:formatCode>
                <c:ptCount val="15"/>
                <c:pt idx="0">
                  <c:v>42.781338910400443</c:v>
                </c:pt>
                <c:pt idx="1">
                  <c:v>40.823608606892698</c:v>
                </c:pt>
                <c:pt idx="2">
                  <c:v>40.620202310994486</c:v>
                </c:pt>
                <c:pt idx="3">
                  <c:v>42.196925774187328</c:v>
                </c:pt>
                <c:pt idx="4">
                  <c:v>48.219676018211892</c:v>
                </c:pt>
                <c:pt idx="5">
                  <c:v>52.117104873856178</c:v>
                </c:pt>
                <c:pt idx="6">
                  <c:v>49.452465711116922</c:v>
                </c:pt>
                <c:pt idx="7">
                  <c:v>51.470176489556472</c:v>
                </c:pt>
                <c:pt idx="8">
                  <c:v>49.883745378416727</c:v>
                </c:pt>
                <c:pt idx="9">
                  <c:v>48.099572626551115</c:v>
                </c:pt>
                <c:pt idx="10">
                  <c:v>48.428064728323946</c:v>
                </c:pt>
                <c:pt idx="11">
                  <c:v>48.387039811080825</c:v>
                </c:pt>
                <c:pt idx="12">
                  <c:v>48.527760229992964</c:v>
                </c:pt>
                <c:pt idx="13">
                  <c:v>48.790858786876626</c:v>
                </c:pt>
                <c:pt idx="14">
                  <c:v>50.209663172081655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50 + 51'!$U$47</c:f>
              <c:strCache>
                <c:ptCount val="1"/>
                <c:pt idx="0">
                  <c:v>euro area (19 countries)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50 + 51'!$V$45:$AJ$45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'Graf 50 + 51'!$V$47:$AJ$47</c:f>
              <c:numCache>
                <c:formatCode>0.0</c:formatCode>
                <c:ptCount val="15"/>
                <c:pt idx="0">
                  <c:v>55.264139737549826</c:v>
                </c:pt>
                <c:pt idx="1">
                  <c:v>54.55720313182939</c:v>
                </c:pt>
                <c:pt idx="2">
                  <c:v>54.727225194879296</c:v>
                </c:pt>
                <c:pt idx="3">
                  <c:v>55.553257585104667</c:v>
                </c:pt>
                <c:pt idx="4">
                  <c:v>57.399198185399094</c:v>
                </c:pt>
                <c:pt idx="5">
                  <c:v>58.632517411868193</c:v>
                </c:pt>
                <c:pt idx="6">
                  <c:v>58.859183392271731</c:v>
                </c:pt>
                <c:pt idx="7">
                  <c:v>56.548258400246269</c:v>
                </c:pt>
                <c:pt idx="8">
                  <c:v>52.048703750834022</c:v>
                </c:pt>
                <c:pt idx="9">
                  <c:v>53.180500965333223</c:v>
                </c:pt>
                <c:pt idx="10">
                  <c:v>53.716621330373314</c:v>
                </c:pt>
                <c:pt idx="11">
                  <c:v>53.735678889476887</c:v>
                </c:pt>
                <c:pt idx="12">
                  <c:v>53.492835473220204</c:v>
                </c:pt>
                <c:pt idx="13">
                  <c:v>54.899021928353889</c:v>
                </c:pt>
                <c:pt idx="14">
                  <c:v>54.247606857590426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50 + 51'!$U$48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50 + 51'!$V$45:$AJ$45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'Graf 50 + 51'!$V$48:$AJ$48</c:f>
              <c:numCache>
                <c:formatCode>0.0</c:formatCode>
                <c:ptCount val="15"/>
                <c:pt idx="0">
                  <c:v>45.276207928715209</c:v>
                </c:pt>
                <c:pt idx="1">
                  <c:v>43.506451742111118</c:v>
                </c:pt>
                <c:pt idx="2">
                  <c:v>54.447197916238352</c:v>
                </c:pt>
                <c:pt idx="3">
                  <c:v>60.067130803699911</c:v>
                </c:pt>
                <c:pt idx="4">
                  <c:v>60.569168808598036</c:v>
                </c:pt>
                <c:pt idx="5">
                  <c:v>57.385555484904813</c:v>
                </c:pt>
                <c:pt idx="6">
                  <c:v>53.328516686896741</c:v>
                </c:pt>
                <c:pt idx="7">
                  <c:v>53.480838453825385</c:v>
                </c:pt>
                <c:pt idx="8">
                  <c:v>48.491048053411156</c:v>
                </c:pt>
                <c:pt idx="9">
                  <c:v>47.281090840180696</c:v>
                </c:pt>
                <c:pt idx="10">
                  <c:v>48.863452534122978</c:v>
                </c:pt>
                <c:pt idx="11">
                  <c:v>43.895503510249355</c:v>
                </c:pt>
                <c:pt idx="12">
                  <c:v>47.049315682635118</c:v>
                </c:pt>
                <c:pt idx="13">
                  <c:v>48.917649621223113</c:v>
                </c:pt>
                <c:pt idx="14">
                  <c:v>49.75496317635104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16936"/>
        <c:axId val="657717328"/>
      </c:lineChart>
      <c:catAx>
        <c:axId val="65771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7328"/>
        <c:crosses val="autoZero"/>
        <c:auto val="1"/>
        <c:lblAlgn val="ctr"/>
        <c:lblOffset val="100"/>
        <c:noMultiLvlLbl val="0"/>
      </c:catAx>
      <c:valAx>
        <c:axId val="657717328"/>
        <c:scaling>
          <c:orientation val="minMax"/>
          <c:min val="3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6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84950419840521"/>
          <c:y val="0.63523075629781145"/>
          <c:w val="0.427948022482388"/>
          <c:h val="0.21293057229056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52 + 53'!$B$19</c:f>
              <c:strCache>
                <c:ptCount val="1"/>
                <c:pt idx="0">
                  <c:v>EDS DPPO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404040404040407E-2"/>
                  <c:y val="3.888890590065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632034632034632E-2"/>
                  <c:y val="-3.333334791485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290043290043316E-2"/>
                  <c:y val="3.888890590065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518037518037568E-2"/>
                  <c:y val="3.3333347914850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430014430014484E-2"/>
                  <c:y val="3.33333479148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3290043290043288E-2"/>
                  <c:y val="-3.33333479148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176046176046176E-2"/>
                  <c:y val="4.4444463886467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746031746031744E-2"/>
                  <c:y val="2.7777789929041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97402597402608E-2"/>
                  <c:y val="1.6666673957425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3492063492063391E-2"/>
                  <c:y val="-2.222223194323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637806637806627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1948051948051951E-2"/>
                  <c:y val="-3.333334791485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52 + 53'!$C$18:$N$18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'Graf 52 + 53'!$C$19:$N$19</c:f>
              <c:numCache>
                <c:formatCode>0.0</c:formatCode>
                <c:ptCount val="12"/>
                <c:pt idx="0">
                  <c:v>18.713599522657866</c:v>
                </c:pt>
                <c:pt idx="1">
                  <c:v>21.490793825832643</c:v>
                </c:pt>
                <c:pt idx="2">
                  <c:v>18.843062587856547</c:v>
                </c:pt>
                <c:pt idx="3">
                  <c:v>18.140236451408249</c:v>
                </c:pt>
                <c:pt idx="4">
                  <c:v>18.883600568541983</c:v>
                </c:pt>
                <c:pt idx="5">
                  <c:v>21.690015655841016</c:v>
                </c:pt>
                <c:pt idx="6">
                  <c:v>18.026393351779486</c:v>
                </c:pt>
                <c:pt idx="7">
                  <c:v>17.54052004162666</c:v>
                </c:pt>
                <c:pt idx="8">
                  <c:v>16.954688835285907</c:v>
                </c:pt>
                <c:pt idx="9">
                  <c:v>21.267097921603295</c:v>
                </c:pt>
                <c:pt idx="10">
                  <c:v>26.00342944100068</c:v>
                </c:pt>
                <c:pt idx="11">
                  <c:v>29.502820498236797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18112"/>
        <c:axId val="657718504"/>
      </c:lineChart>
      <c:catAx>
        <c:axId val="6577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8504"/>
        <c:crosses val="autoZero"/>
        <c:auto val="1"/>
        <c:lblAlgn val="ctr"/>
        <c:lblOffset val="100"/>
        <c:noMultiLvlLbl val="0"/>
      </c:catAx>
      <c:valAx>
        <c:axId val="657718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5771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52 + 53'!$B$19</c:f>
              <c:strCache>
                <c:ptCount val="1"/>
                <c:pt idx="0">
                  <c:v>EDS DPPO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404040404040407E-2"/>
                  <c:y val="3.888890590065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632034632034632E-2"/>
                  <c:y val="-3.333334791485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290043290043316E-2"/>
                  <c:y val="3.888890590065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518037518037568E-2"/>
                  <c:y val="3.3333347914850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430014430014484E-2"/>
                  <c:y val="3.33333479148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3290043290043288E-2"/>
                  <c:y val="-3.33333479148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176046176046176E-2"/>
                  <c:y val="4.4444463886467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746031746031744E-2"/>
                  <c:y val="2.7777789929041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97402597402608E-2"/>
                  <c:y val="1.6666673957425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3492063492063391E-2"/>
                  <c:y val="-2.222223194323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637806637806627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1948051948051951E-2"/>
                  <c:y val="-3.333334791485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52 + 53'!$C$18:$N$18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'Graf 52 + 53'!$C$19:$N$19</c:f>
              <c:numCache>
                <c:formatCode>0.0</c:formatCode>
                <c:ptCount val="12"/>
                <c:pt idx="0">
                  <c:v>18.713599522657866</c:v>
                </c:pt>
                <c:pt idx="1">
                  <c:v>21.490793825832643</c:v>
                </c:pt>
                <c:pt idx="2">
                  <c:v>18.843062587856547</c:v>
                </c:pt>
                <c:pt idx="3">
                  <c:v>18.140236451408249</c:v>
                </c:pt>
                <c:pt idx="4">
                  <c:v>18.883600568541983</c:v>
                </c:pt>
                <c:pt idx="5">
                  <c:v>21.690015655841016</c:v>
                </c:pt>
                <c:pt idx="6">
                  <c:v>18.026393351779486</c:v>
                </c:pt>
                <c:pt idx="7">
                  <c:v>17.54052004162666</c:v>
                </c:pt>
                <c:pt idx="8">
                  <c:v>16.954688835285907</c:v>
                </c:pt>
                <c:pt idx="9">
                  <c:v>21.267097921603295</c:v>
                </c:pt>
                <c:pt idx="10">
                  <c:v>26.00342944100068</c:v>
                </c:pt>
                <c:pt idx="11">
                  <c:v>29.502820498236797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440824"/>
        <c:axId val="663441216"/>
      </c:lineChart>
      <c:catAx>
        <c:axId val="66344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41216"/>
        <c:crosses val="autoZero"/>
        <c:auto val="1"/>
        <c:lblAlgn val="ctr"/>
        <c:lblOffset val="100"/>
        <c:noMultiLvlLbl val="0"/>
      </c:catAx>
      <c:valAx>
        <c:axId val="6634412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4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9522786924362E-2"/>
          <c:y val="2.8195007538951256E-2"/>
          <c:w val="0.90825874038472465"/>
          <c:h val="0.82419255039928518"/>
        </c:manualLayout>
      </c:layout>
      <c:lineChart>
        <c:grouping val="standard"/>
        <c:varyColors val="0"/>
        <c:ser>
          <c:idx val="0"/>
          <c:order val="0"/>
          <c:tx>
            <c:strRef>
              <c:f>'Graf 52 + 53'!$P$19</c:f>
              <c:strCache>
                <c:ptCount val="1"/>
                <c:pt idx="0">
                  <c:v>medzera DPH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52 + 53'!$Q$18:$AA$18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'Graf 52 + 53'!$Q$19:$AA$19</c:f>
              <c:numCache>
                <c:formatCode>0.0</c:formatCode>
                <c:ptCount val="11"/>
                <c:pt idx="0">
                  <c:v>23.505997745706981</c:v>
                </c:pt>
                <c:pt idx="1">
                  <c:v>21.512613425555564</c:v>
                </c:pt>
                <c:pt idx="2">
                  <c:v>26.620713930615381</c:v>
                </c:pt>
                <c:pt idx="3">
                  <c:v>31.445393334253612</c:v>
                </c:pt>
                <c:pt idx="4">
                  <c:v>31.279497216081154</c:v>
                </c:pt>
                <c:pt idx="5">
                  <c:v>34.884118077650236</c:v>
                </c:pt>
                <c:pt idx="6">
                  <c:v>35.562987066186544</c:v>
                </c:pt>
                <c:pt idx="7">
                  <c:v>38.219907893613644</c:v>
                </c:pt>
                <c:pt idx="8">
                  <c:v>40.957819263797788</c:v>
                </c:pt>
                <c:pt idx="9">
                  <c:v>37.013535189253865</c:v>
                </c:pt>
                <c:pt idx="10">
                  <c:v>31.801888102377362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52 + 53'!$P$20</c:f>
              <c:strCache>
                <c:ptCount val="1"/>
                <c:pt idx="0">
                  <c:v>DPPO medzera základne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52 + 53'!$Q$18:$AA$18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'Graf 52 + 53'!$Q$20:$AA$20</c:f>
              <c:numCache>
                <c:formatCode>0.0</c:formatCode>
                <c:ptCount val="11"/>
                <c:pt idx="0">
                  <c:v>23.291131840693996</c:v>
                </c:pt>
                <c:pt idx="1">
                  <c:v>13.990904009010254</c:v>
                </c:pt>
                <c:pt idx="2">
                  <c:v>19.853339197268983</c:v>
                </c:pt>
                <c:pt idx="3">
                  <c:v>22.940986192220095</c:v>
                </c:pt>
                <c:pt idx="4">
                  <c:v>17.725267489712</c:v>
                </c:pt>
                <c:pt idx="5">
                  <c:v>29.965607849222707</c:v>
                </c:pt>
                <c:pt idx="6">
                  <c:v>37.536283014646109</c:v>
                </c:pt>
                <c:pt idx="7">
                  <c:v>35.626965006000034</c:v>
                </c:pt>
                <c:pt idx="8">
                  <c:v>37.28780906777483</c:v>
                </c:pt>
                <c:pt idx="9">
                  <c:v>34.468265516397025</c:v>
                </c:pt>
                <c:pt idx="10">
                  <c:v>27.97347405582984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442000"/>
        <c:axId val="663442392"/>
      </c:lineChart>
      <c:catAx>
        <c:axId val="66344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42392"/>
        <c:crosses val="autoZero"/>
        <c:auto val="1"/>
        <c:lblAlgn val="ctr"/>
        <c:lblOffset val="100"/>
        <c:noMultiLvlLbl val="0"/>
      </c:catAx>
      <c:valAx>
        <c:axId val="6634423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4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8285327970367342"/>
          <c:y val="0.5446808510638298"/>
          <c:w val="0.45276385906307165"/>
          <c:h val="0.16436522030490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9522786924362E-2"/>
          <c:y val="2.8195007538951256E-2"/>
          <c:w val="0.90825874038472465"/>
          <c:h val="0.82419255039928518"/>
        </c:manualLayout>
      </c:layout>
      <c:lineChart>
        <c:grouping val="standard"/>
        <c:varyColors val="0"/>
        <c:ser>
          <c:idx val="0"/>
          <c:order val="0"/>
          <c:tx>
            <c:strRef>
              <c:f>'Graf 52 + 53'!$P$39</c:f>
              <c:strCache>
                <c:ptCount val="1"/>
                <c:pt idx="0">
                  <c:v>VAT gap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52 + 53'!$Q$38:$AA$38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'Graf 52 + 53'!$Q$39:$AA$39</c:f>
              <c:numCache>
                <c:formatCode>0.0</c:formatCode>
                <c:ptCount val="11"/>
                <c:pt idx="0">
                  <c:v>23.505997745706981</c:v>
                </c:pt>
                <c:pt idx="1">
                  <c:v>21.512613425555564</c:v>
                </c:pt>
                <c:pt idx="2">
                  <c:v>26.620713930615381</c:v>
                </c:pt>
                <c:pt idx="3">
                  <c:v>31.445393334253612</c:v>
                </c:pt>
                <c:pt idx="4">
                  <c:v>31.279497216081154</c:v>
                </c:pt>
                <c:pt idx="5">
                  <c:v>34.884118077650236</c:v>
                </c:pt>
                <c:pt idx="6">
                  <c:v>35.562987066186544</c:v>
                </c:pt>
                <c:pt idx="7">
                  <c:v>38.219907893613644</c:v>
                </c:pt>
                <c:pt idx="8">
                  <c:v>40.957819263797788</c:v>
                </c:pt>
                <c:pt idx="9">
                  <c:v>37.013535189253865</c:v>
                </c:pt>
                <c:pt idx="10">
                  <c:v>31.801888102377362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52 + 53'!$P$40</c:f>
              <c:strCache>
                <c:ptCount val="1"/>
                <c:pt idx="0">
                  <c:v>CIT base gap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52 + 53'!$Q$38:$AA$38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'Graf 52 + 53'!$Q$40:$AA$40</c:f>
              <c:numCache>
                <c:formatCode>0.0</c:formatCode>
                <c:ptCount val="11"/>
                <c:pt idx="0">
                  <c:v>23.291131840693996</c:v>
                </c:pt>
                <c:pt idx="1">
                  <c:v>13.990904009010254</c:v>
                </c:pt>
                <c:pt idx="2">
                  <c:v>19.853339197268983</c:v>
                </c:pt>
                <c:pt idx="3">
                  <c:v>22.940986192220095</c:v>
                </c:pt>
                <c:pt idx="4">
                  <c:v>17.725267489712</c:v>
                </c:pt>
                <c:pt idx="5">
                  <c:v>29.965607849222707</c:v>
                </c:pt>
                <c:pt idx="6">
                  <c:v>37.536283014646109</c:v>
                </c:pt>
                <c:pt idx="7">
                  <c:v>35.626965006000034</c:v>
                </c:pt>
                <c:pt idx="8">
                  <c:v>37.28780906777483</c:v>
                </c:pt>
                <c:pt idx="9">
                  <c:v>34.468265516397025</c:v>
                </c:pt>
                <c:pt idx="10">
                  <c:v>27.97347405582984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443176"/>
        <c:axId val="663443568"/>
      </c:lineChart>
      <c:catAx>
        <c:axId val="66344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43568"/>
        <c:crosses val="autoZero"/>
        <c:auto val="1"/>
        <c:lblAlgn val="ctr"/>
        <c:lblOffset val="100"/>
        <c:noMultiLvlLbl val="0"/>
      </c:catAx>
      <c:valAx>
        <c:axId val="663443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63443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3243526377384642"/>
          <c:y val="0.53900709219858156"/>
          <c:w val="0.2901076001863403"/>
          <c:h val="0.18138649690065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052493438320214"/>
        </c:manualLayout>
      </c:layout>
      <c:lineChart>
        <c:grouping val="standard"/>
        <c:varyColors val="0"/>
        <c:ser>
          <c:idx val="3"/>
          <c:order val="0"/>
          <c:tx>
            <c:strRef>
              <c:f>'Graf 54 +55'!$J$6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54 +55'!$K$5:$U$5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+55'!$K$6:$U$6</c:f>
              <c:numCache>
                <c:formatCode>#\ ##0.0</c:formatCode>
                <c:ptCount val="11"/>
                <c:pt idx="0">
                  <c:v>3.2</c:v>
                </c:pt>
                <c:pt idx="1">
                  <c:v>3.2</c:v>
                </c:pt>
                <c:pt idx="2">
                  <c:v>3.3</c:v>
                </c:pt>
                <c:pt idx="3">
                  <c:v>3.6</c:v>
                </c:pt>
                <c:pt idx="4">
                  <c:v>3.4</c:v>
                </c:pt>
                <c:pt idx="5">
                  <c:v>3.1</c:v>
                </c:pt>
                <c:pt idx="6">
                  <c:v>2.9</c:v>
                </c:pt>
                <c:pt idx="7">
                  <c:v>2.8</c:v>
                </c:pt>
                <c:pt idx="8">
                  <c:v>2.7</c:v>
                </c:pt>
                <c:pt idx="9">
                  <c:v>2.7</c:v>
                </c:pt>
                <c:pt idx="10" formatCode="0.0">
                  <c:v>2.6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54 +55'!$J$39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54 +55'!$K$5:$U$5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+55'!$K$10:$U$10</c:f>
              <c:numCache>
                <c:formatCode>#\ ##0.0</c:formatCode>
                <c:ptCount val="11"/>
                <c:pt idx="0">
                  <c:v>3.8</c:v>
                </c:pt>
                <c:pt idx="1">
                  <c:v>3.2</c:v>
                </c:pt>
                <c:pt idx="2">
                  <c:v>3.4</c:v>
                </c:pt>
                <c:pt idx="3">
                  <c:v>3.9</c:v>
                </c:pt>
                <c:pt idx="4">
                  <c:v>3.6</c:v>
                </c:pt>
                <c:pt idx="5">
                  <c:v>3.8</c:v>
                </c:pt>
                <c:pt idx="6">
                  <c:v>3.4</c:v>
                </c:pt>
                <c:pt idx="7">
                  <c:v>3.3</c:v>
                </c:pt>
                <c:pt idx="8">
                  <c:v>4</c:v>
                </c:pt>
                <c:pt idx="9">
                  <c:v>6.3</c:v>
                </c:pt>
                <c:pt idx="10" formatCode="0.0">
                  <c:v>3.2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54 +55'!$J$11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'Graf 54 +55'!$K$5:$U$5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+55'!$K$11:$U$11</c:f>
              <c:numCache>
                <c:formatCode>#\ ##0.0</c:formatCode>
                <c:ptCount val="11"/>
                <c:pt idx="0">
                  <c:v>4.7</c:v>
                </c:pt>
                <c:pt idx="1">
                  <c:v>4.4666666666666659</c:v>
                </c:pt>
                <c:pt idx="2">
                  <c:v>4.333333333333333</c:v>
                </c:pt>
                <c:pt idx="3">
                  <c:v>4.6333333333333337</c:v>
                </c:pt>
                <c:pt idx="4">
                  <c:v>4.666666666666667</c:v>
                </c:pt>
                <c:pt idx="5">
                  <c:v>4.5666666666666664</c:v>
                </c:pt>
                <c:pt idx="6">
                  <c:v>4.2</c:v>
                </c:pt>
                <c:pt idx="7">
                  <c:v>4.0666666666666673</c:v>
                </c:pt>
                <c:pt idx="8">
                  <c:v>4.666666666666667</c:v>
                </c:pt>
                <c:pt idx="9">
                  <c:v>5.3666666666666671</c:v>
                </c:pt>
                <c:pt idx="10">
                  <c:v>3.2666666666666671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444352"/>
        <c:axId val="663444744"/>
      </c:lineChart>
      <c:catAx>
        <c:axId val="66344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663444744"/>
        <c:crosses val="autoZero"/>
        <c:auto val="1"/>
        <c:lblAlgn val="ctr"/>
        <c:lblOffset val="100"/>
        <c:noMultiLvlLbl val="0"/>
      </c:catAx>
      <c:valAx>
        <c:axId val="663444744"/>
        <c:scaling>
          <c:orientation val="minMax"/>
          <c:max val="6.5"/>
          <c:min val="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6344435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"/>
          <c:y val="0.16470618256051328"/>
          <c:w val="0.52630916666666672"/>
          <c:h val="0.10366579177602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7126567512394284"/>
        </c:manualLayout>
      </c:layout>
      <c:lineChart>
        <c:grouping val="standard"/>
        <c:varyColors val="0"/>
        <c:ser>
          <c:idx val="3"/>
          <c:order val="0"/>
          <c:tx>
            <c:strRef>
              <c:f>'Graf 54 +55'!$J$21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54 +55'!$K$5:$U$5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+55'!$K$21:$U$21</c:f>
              <c:numCache>
                <c:formatCode>#\ ##0.0</c:formatCode>
                <c:ptCount val="11"/>
                <c:pt idx="0">
                  <c:v>46.1</c:v>
                </c:pt>
                <c:pt idx="1">
                  <c:v>45.3</c:v>
                </c:pt>
                <c:pt idx="2">
                  <c:v>46.6</c:v>
                </c:pt>
                <c:pt idx="3">
                  <c:v>50.7</c:v>
                </c:pt>
                <c:pt idx="4">
                  <c:v>50.5</c:v>
                </c:pt>
                <c:pt idx="5">
                  <c:v>49.1</c:v>
                </c:pt>
                <c:pt idx="6">
                  <c:v>49.7</c:v>
                </c:pt>
                <c:pt idx="7">
                  <c:v>49.7</c:v>
                </c:pt>
                <c:pt idx="8">
                  <c:v>49.4</c:v>
                </c:pt>
                <c:pt idx="9">
                  <c:v>48.5</c:v>
                </c:pt>
                <c:pt idx="10" formatCode="0.0">
                  <c:v>47.7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54 +55'!$J$39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54 +55'!$K$5:$U$5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+55'!$K$25:$U$25</c:f>
              <c:numCache>
                <c:formatCode>#\ ##0.0</c:formatCode>
                <c:ptCount val="11"/>
                <c:pt idx="0">
                  <c:v>38.799999999999997</c:v>
                </c:pt>
                <c:pt idx="1">
                  <c:v>36.299999999999997</c:v>
                </c:pt>
                <c:pt idx="2">
                  <c:v>36.9</c:v>
                </c:pt>
                <c:pt idx="3">
                  <c:v>44.1</c:v>
                </c:pt>
                <c:pt idx="4">
                  <c:v>42.1</c:v>
                </c:pt>
                <c:pt idx="5">
                  <c:v>40.799999999999997</c:v>
                </c:pt>
                <c:pt idx="6">
                  <c:v>40.6</c:v>
                </c:pt>
                <c:pt idx="7">
                  <c:v>41.4</c:v>
                </c:pt>
                <c:pt idx="8">
                  <c:v>42</c:v>
                </c:pt>
                <c:pt idx="9">
                  <c:v>45.6</c:v>
                </c:pt>
                <c:pt idx="10" formatCode="0.0">
                  <c:v>41.6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54 +55'!$J$26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'Graf 54 +55'!$K$5:$U$5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'Graf 54 +55'!$K$26:$U$26</c:f>
              <c:numCache>
                <c:formatCode>#\ ##0.0</c:formatCode>
                <c:ptCount val="11"/>
                <c:pt idx="0">
                  <c:v>45.666666666666664</c:v>
                </c:pt>
                <c:pt idx="1">
                  <c:v>44.4</c:v>
                </c:pt>
                <c:pt idx="2">
                  <c:v>44.366666666666674</c:v>
                </c:pt>
                <c:pt idx="3">
                  <c:v>46.366666666666667</c:v>
                </c:pt>
                <c:pt idx="4">
                  <c:v>46.066666666666663</c:v>
                </c:pt>
                <c:pt idx="5">
                  <c:v>45.5</c:v>
                </c:pt>
                <c:pt idx="6">
                  <c:v>45.266666666666673</c:v>
                </c:pt>
                <c:pt idx="7">
                  <c:v>44.766666666666673</c:v>
                </c:pt>
                <c:pt idx="8">
                  <c:v>44.433333333333337</c:v>
                </c:pt>
                <c:pt idx="9">
                  <c:v>44.5</c:v>
                </c:pt>
                <c:pt idx="10" formatCode="0.0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445528"/>
        <c:axId val="663445920"/>
      </c:lineChart>
      <c:catAx>
        <c:axId val="663445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663445920"/>
        <c:crosses val="autoZero"/>
        <c:auto val="1"/>
        <c:lblAlgn val="ctr"/>
        <c:lblOffset val="100"/>
        <c:noMultiLvlLbl val="0"/>
      </c:catAx>
      <c:valAx>
        <c:axId val="663445920"/>
        <c:scaling>
          <c:orientation val="minMax"/>
          <c:min val="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66344552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"/>
          <c:y val="5.8224701079031785E-2"/>
          <c:w val="0.72811094559126055"/>
          <c:h val="0.22866579177602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A256397-0ECE-42A7-BCEF-2F33B3A244E1}" type="doc">
      <dgm:prSet loTypeId="urn:microsoft.com/office/officeart/2005/8/layout/hierarchy6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sk-SK"/>
        </a:p>
      </dgm:t>
    </dgm:pt>
    <dgm:pt modelId="{55C648C6-3BE6-4F81-AFAD-4E77F4A05FF7}">
      <dgm:prSet phldrT="[Text]" custT="1"/>
      <dgm:spPr/>
      <dgm:t>
        <a:bodyPr/>
        <a:lstStyle/>
        <a:p>
          <a:r>
            <a:rPr lang="sk-SK" sz="1000">
              <a:latin typeface="Arial Narrow" panose="020B0606020202030204" pitchFamily="34" charset="0"/>
            </a:rPr>
            <a:t>Vláda SR</a:t>
          </a:r>
        </a:p>
      </dgm:t>
    </dgm:pt>
    <dgm:pt modelId="{F680E977-D5EB-4625-9DF0-5BA420D6B9AD}" type="parTrans" cxnId="{4DD0834A-0F0C-43C0-B50E-F6EBC62E90B8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D7550069-CC71-4AF0-8F86-243A54E37D6C}" type="sibTrans" cxnId="{4DD0834A-0F0C-43C0-B50E-F6EBC62E90B8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A4D58F12-3721-483A-BA10-99BDCC28E658}">
      <dgm:prSet phldrT="[Text]" custT="1"/>
      <dgm:spPr/>
      <dgm:t>
        <a:bodyPr/>
        <a:lstStyle/>
        <a:p>
          <a:r>
            <a:rPr lang="sk-SK" sz="800" dirty="0" smtClean="0">
              <a:solidFill>
                <a:srgbClr val="FFFFFF"/>
              </a:solidFill>
              <a:latin typeface="Arial Narrow" panose="020B0606020202030204" pitchFamily="34" charset="0"/>
              <a:ea typeface="+mn-ea"/>
              <a:cs typeface="+mn-cs"/>
            </a:rPr>
            <a:t>Spoločný tím analytických jednotiek pre školstvo </a:t>
          </a:r>
          <a:endParaRPr lang="sk-SK" sz="800">
            <a:latin typeface="Arial Narrow" panose="020B0606020202030204" pitchFamily="34" charset="0"/>
          </a:endParaRPr>
        </a:p>
      </dgm:t>
    </dgm:pt>
    <dgm:pt modelId="{D7A80ED1-4D44-4723-921A-9CFA943841B4}" type="parTrans" cxnId="{84D1A834-88CC-468F-93EC-3604F466E2FD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62D5D410-E098-487B-8F10-AF4043A22A90}" type="sibTrans" cxnId="{84D1A834-88CC-468F-93EC-3604F466E2FD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436FFFB3-4DE1-4AD3-A540-64F0238BA0A5}">
      <dgm:prSet phldrT="[Text]" custT="1"/>
      <dgm:spPr/>
      <dgm:t>
        <a:bodyPr/>
        <a:lstStyle/>
        <a:p>
          <a:r>
            <a:rPr lang="sk-SK" sz="800" dirty="0" smtClean="0">
              <a:solidFill>
                <a:srgbClr val="FFFFFF"/>
              </a:solidFill>
              <a:latin typeface="Arial Narrow" panose="020B0606020202030204" pitchFamily="34" charset="0"/>
              <a:ea typeface="+mn-ea"/>
              <a:cs typeface="+mn-cs"/>
            </a:rPr>
            <a:t>Spoločný tím analytických jednotiek pre životné prostredie</a:t>
          </a:r>
          <a:endParaRPr lang="sk-SK" sz="800">
            <a:latin typeface="Arial Narrow" panose="020B0606020202030204" pitchFamily="34" charset="0"/>
          </a:endParaRPr>
        </a:p>
      </dgm:t>
    </dgm:pt>
    <dgm:pt modelId="{FA58065A-2905-4479-AC84-C0601C07E483}" type="parTrans" cxnId="{1E47E4E8-7965-4336-9416-9472F103F7E6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A478FE3D-BE8E-41D9-B5EE-74299A5BB565}" type="sibTrans" cxnId="{1E47E4E8-7965-4336-9416-9472F103F7E6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BB372A90-1E7B-4BFC-B05A-FE37C44BE166}">
      <dgm:prSet phldrT="[Text]" custT="1"/>
      <dgm:spPr/>
      <dgm:t>
        <a:bodyPr/>
        <a:lstStyle/>
        <a:p>
          <a:r>
            <a:rPr lang="sk-SK" sz="800" dirty="0" smtClean="0">
              <a:solidFill>
                <a:srgbClr val="FFFFFF"/>
              </a:solidFill>
              <a:latin typeface="Arial Narrow" panose="020B0606020202030204" pitchFamily="34" charset="0"/>
              <a:ea typeface="+mn-ea"/>
              <a:cs typeface="+mn-cs"/>
            </a:rPr>
            <a:t>Spoločný tím analytických jednotiek pre sociálnu oblasť</a:t>
          </a:r>
          <a:endParaRPr lang="sk-SK" sz="800">
            <a:latin typeface="Arial Narrow" panose="020B0606020202030204" pitchFamily="34" charset="0"/>
          </a:endParaRPr>
        </a:p>
      </dgm:t>
    </dgm:pt>
    <dgm:pt modelId="{3AE362DD-1152-43DE-B042-905644B0E412}" type="parTrans" cxnId="{0DAE6162-D120-4829-A64B-51744912A829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35945DA9-60B2-4A21-A1D0-68FE64E9F678}" type="sibTrans" cxnId="{0DAE6162-D120-4829-A64B-51744912A829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BA44D5A7-C688-4596-BCFF-51B054F4A429}">
      <dgm:prSet phldrT="[Text]" custT="1"/>
      <dgm:spPr/>
      <dgm:t>
        <a:bodyPr/>
        <a:lstStyle/>
        <a:p>
          <a:pPr>
            <a:spcAft>
              <a:spcPts val="0"/>
            </a:spcAft>
          </a:pPr>
          <a:r>
            <a:rPr lang="sk-SK" sz="900">
              <a:latin typeface="Arial Narrow" panose="020B0606020202030204" pitchFamily="34" charset="0"/>
            </a:rPr>
            <a:t>MF SR</a:t>
          </a:r>
        </a:p>
        <a:p>
          <a:pPr>
            <a:spcAft>
              <a:spcPts val="0"/>
            </a:spcAft>
          </a:pPr>
          <a:r>
            <a:rPr lang="sk-SK" sz="900">
              <a:latin typeface="Arial Narrow" panose="020B0606020202030204" pitchFamily="34" charset="0"/>
            </a:rPr>
            <a:t>(Útvar revízie výd</a:t>
          </a:r>
          <a:r>
            <a:rPr lang="en-US" sz="900">
              <a:latin typeface="Arial Narrow" panose="020B0606020202030204" pitchFamily="34" charset="0"/>
            </a:rPr>
            <a:t>av</a:t>
          </a:r>
          <a:r>
            <a:rPr lang="sk-SK" sz="900">
              <a:latin typeface="Arial Narrow" panose="020B0606020202030204" pitchFamily="34" charset="0"/>
            </a:rPr>
            <a:t>kov</a:t>
          </a:r>
          <a:r>
            <a:rPr lang="en-US" sz="900">
              <a:latin typeface="Arial Narrow" panose="020B0606020202030204" pitchFamily="34" charset="0"/>
            </a:rPr>
            <a:t>)</a:t>
          </a:r>
          <a:endParaRPr lang="sk-SK" sz="900">
            <a:latin typeface="Arial Narrow" panose="020B0606020202030204" pitchFamily="34" charset="0"/>
          </a:endParaRPr>
        </a:p>
      </dgm:t>
    </dgm:pt>
    <dgm:pt modelId="{CBEED378-2080-48D2-B121-A93B20795392}" type="parTrans" cxnId="{11A72ECC-4DC2-4719-8A1C-667C34B7490E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26D8FF08-5FB3-4B95-B6D0-C8255AC56526}" type="sibTrans" cxnId="{11A72ECC-4DC2-4719-8A1C-667C34B7490E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18CE634F-BE9F-4CE7-BF50-E808ED2C9B5B}">
      <dgm:prSet phldrT="[Text]" custT="1"/>
      <dgm:spPr/>
      <dgm:t>
        <a:bodyPr/>
        <a:lstStyle/>
        <a:p>
          <a:r>
            <a:rPr lang="sk-SK" sz="1000" b="0" dirty="0" smtClean="0">
              <a:solidFill>
                <a:srgbClr val="000000">
                  <a:hueOff val="0"/>
                  <a:satOff val="0"/>
                  <a:lumOff val="0"/>
                  <a:alphaOff val="0"/>
                </a:srgbClr>
              </a:solidFill>
              <a:latin typeface="Arial Narrow" panose="020B0606020202030204" pitchFamily="34" charset="0"/>
              <a:ea typeface="+mn-ea"/>
              <a:cs typeface="+mn-cs"/>
            </a:rPr>
            <a:t>Realizácia</a:t>
          </a:r>
          <a:endParaRPr lang="sk-SK" sz="1000" b="0">
            <a:latin typeface="Arial Narrow" panose="020B0606020202030204" pitchFamily="34" charset="0"/>
          </a:endParaRPr>
        </a:p>
      </dgm:t>
    </dgm:pt>
    <dgm:pt modelId="{CD23D6A3-44F7-4EFB-90CA-AFFEF321A0B1}" type="parTrans" cxnId="{18BA3DE1-0577-4402-B927-CE52E345E553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8817833F-4033-4ECD-925F-C86C7C6A2426}" type="sibTrans" cxnId="{18BA3DE1-0577-4402-B927-CE52E345E553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783844DA-70C2-4F5C-897E-69C87481A66F}">
      <dgm:prSet phldrT="[Text]" custT="1"/>
      <dgm:spPr/>
      <dgm:t>
        <a:bodyPr/>
        <a:lstStyle/>
        <a:p>
          <a:r>
            <a:rPr lang="sk-SK" sz="1000">
              <a:latin typeface="Arial Narrow" panose="020B0606020202030204" pitchFamily="34" charset="0"/>
            </a:rPr>
            <a:t>Koordinácia, príprava a monitoring</a:t>
          </a:r>
        </a:p>
      </dgm:t>
    </dgm:pt>
    <dgm:pt modelId="{4BA089A5-903D-44F6-8881-BC54CBF6C263}" type="sibTrans" cxnId="{D97E6530-CDD5-4C64-BF18-EE74908FFD67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BC87AD5E-3B39-4A5F-858F-F916145CF93F}" type="parTrans" cxnId="{D97E6530-CDD5-4C64-BF18-EE74908FFD67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7BA3DF78-FB96-4654-B107-90A0A92299A7}">
      <dgm:prSet phldrT="[Text]" custT="1"/>
      <dgm:spPr/>
      <dgm:t>
        <a:bodyPr/>
        <a:lstStyle/>
        <a:p>
          <a:pPr>
            <a:spcAft>
              <a:spcPts val="0"/>
            </a:spcAft>
          </a:pPr>
          <a:r>
            <a:rPr lang="sk-SK" sz="900">
              <a:latin typeface="Arial Narrow" panose="020B0606020202030204" pitchFamily="34" charset="0"/>
            </a:rPr>
            <a:t>Úrad podpredsedu vlády</a:t>
          </a:r>
        </a:p>
        <a:p>
          <a:pPr>
            <a:spcAft>
              <a:spcPts val="0"/>
            </a:spcAft>
          </a:pPr>
          <a:r>
            <a:rPr lang="sk-SK" sz="900">
              <a:latin typeface="Arial Narrow" panose="020B0606020202030204" pitchFamily="34" charset="0"/>
            </a:rPr>
            <a:t>(Implementačná jednotka)</a:t>
          </a:r>
        </a:p>
      </dgm:t>
    </dgm:pt>
    <dgm:pt modelId="{3A3BEEC9-84AC-4F02-AB8E-A6214A354946}" type="parTrans" cxnId="{DD88B398-A7B6-4276-AE8B-048A271E0BFA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F238DDBE-03A8-4B04-8237-C4ECBD2B65C4}" type="sibTrans" cxnId="{DD88B398-A7B6-4276-AE8B-048A271E0BFA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9F78EE61-417E-4A3D-B76E-09D1DAA06173}">
      <dgm:prSet phldrT="[Text]" custT="1"/>
      <dgm:spPr/>
      <dgm:t>
        <a:bodyPr/>
        <a:lstStyle/>
        <a:p>
          <a:pPr algn="ctr"/>
          <a:r>
            <a:rPr lang="sk-SK" sz="1000">
              <a:latin typeface="Arial Narrow" panose="020B0606020202030204" pitchFamily="34" charset="0"/>
            </a:rPr>
            <a:t>Strategické rozhodnutia</a:t>
          </a:r>
        </a:p>
      </dgm:t>
    </dgm:pt>
    <dgm:pt modelId="{5B0B186C-DA69-485B-8EB4-D08514EFE019}" type="sibTrans" cxnId="{331D0DFC-AC86-40B4-B132-091DB9DACAC3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113DB9E1-B477-4B1E-BBC5-7877A91A8661}" type="parTrans" cxnId="{331D0DFC-AC86-40B4-B132-091DB9DACAC3}">
      <dgm:prSet/>
      <dgm:spPr/>
      <dgm:t>
        <a:bodyPr/>
        <a:lstStyle/>
        <a:p>
          <a:endParaRPr lang="sk-SK">
            <a:latin typeface="Arial Narrow" panose="020B0606020202030204" pitchFamily="34" charset="0"/>
          </a:endParaRPr>
        </a:p>
      </dgm:t>
    </dgm:pt>
    <dgm:pt modelId="{11F1CE12-D01B-42C8-A8C1-CDAB4CF26BD0}" type="pres">
      <dgm:prSet presAssocID="{EA256397-0ECE-42A7-BCEF-2F33B3A244E1}" presName="mainComposite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sk-SK"/>
        </a:p>
      </dgm:t>
    </dgm:pt>
    <dgm:pt modelId="{DA5F84F3-5994-4C4D-BDF8-2138B598EE8A}" type="pres">
      <dgm:prSet presAssocID="{EA256397-0ECE-42A7-BCEF-2F33B3A244E1}" presName="hierFlow" presStyleCnt="0"/>
      <dgm:spPr/>
    </dgm:pt>
    <dgm:pt modelId="{5CC5298D-0ECF-4ED5-ADD3-EC96B12AD9DF}" type="pres">
      <dgm:prSet presAssocID="{EA256397-0ECE-42A7-BCEF-2F33B3A244E1}" presName="firstBuf" presStyleCnt="0"/>
      <dgm:spPr/>
    </dgm:pt>
    <dgm:pt modelId="{6FB72288-1CA3-486F-A301-B0B8A38F622B}" type="pres">
      <dgm:prSet presAssocID="{EA256397-0ECE-42A7-BCEF-2F33B3A244E1}" presName="hierChild1" presStyleCnt="0">
        <dgm:presLayoutVars>
          <dgm:chPref val="1"/>
          <dgm:animOne val="branch"/>
          <dgm:animLvl val="lvl"/>
        </dgm:presLayoutVars>
      </dgm:prSet>
      <dgm:spPr/>
    </dgm:pt>
    <dgm:pt modelId="{EEDF0DC1-26BD-4D53-854F-AFAC90FABE3A}" type="pres">
      <dgm:prSet presAssocID="{55C648C6-3BE6-4F81-AFAD-4E77F4A05FF7}" presName="Name14" presStyleCnt="0"/>
      <dgm:spPr/>
    </dgm:pt>
    <dgm:pt modelId="{D704BB64-95FE-494F-BCF2-472FA192E844}" type="pres">
      <dgm:prSet presAssocID="{55C648C6-3BE6-4F81-AFAD-4E77F4A05FF7}" presName="level1Shape" presStyleLbl="node0" presStyleIdx="0" presStyleCnt="1" custScaleX="150710">
        <dgm:presLayoutVars>
          <dgm:chPref val="3"/>
        </dgm:presLayoutVars>
      </dgm:prSet>
      <dgm:spPr/>
      <dgm:t>
        <a:bodyPr/>
        <a:lstStyle/>
        <a:p>
          <a:endParaRPr lang="sk-SK"/>
        </a:p>
      </dgm:t>
    </dgm:pt>
    <dgm:pt modelId="{B102994C-BAD6-492C-B316-C529B86E5E64}" type="pres">
      <dgm:prSet presAssocID="{55C648C6-3BE6-4F81-AFAD-4E77F4A05FF7}" presName="hierChild2" presStyleCnt="0"/>
      <dgm:spPr/>
    </dgm:pt>
    <dgm:pt modelId="{3014633F-9BD8-441B-890D-84AF3B8FA765}" type="pres">
      <dgm:prSet presAssocID="{CBEED378-2080-48D2-B121-A93B20795392}" presName="Name19" presStyleLbl="parChTrans1D2" presStyleIdx="0" presStyleCnt="2"/>
      <dgm:spPr/>
      <dgm:t>
        <a:bodyPr/>
        <a:lstStyle/>
        <a:p>
          <a:endParaRPr lang="sk-SK"/>
        </a:p>
      </dgm:t>
    </dgm:pt>
    <dgm:pt modelId="{DD1077BF-5566-489D-A2E5-F6B4CCFFCEA2}" type="pres">
      <dgm:prSet presAssocID="{BA44D5A7-C688-4596-BCFF-51B054F4A429}" presName="Name21" presStyleCnt="0"/>
      <dgm:spPr/>
    </dgm:pt>
    <dgm:pt modelId="{9A555EE6-33EA-42C7-B82B-A4A81B26B642}" type="pres">
      <dgm:prSet presAssocID="{BA44D5A7-C688-4596-BCFF-51B054F4A429}" presName="level2Shape" presStyleLbl="node2" presStyleIdx="0" presStyleCnt="2" custScaleX="220817" custScaleY="120046"/>
      <dgm:spPr/>
      <dgm:t>
        <a:bodyPr/>
        <a:lstStyle/>
        <a:p>
          <a:endParaRPr lang="sk-SK"/>
        </a:p>
      </dgm:t>
    </dgm:pt>
    <dgm:pt modelId="{10B866D0-7AE9-4F94-A144-8CDC0E69855B}" type="pres">
      <dgm:prSet presAssocID="{BA44D5A7-C688-4596-BCFF-51B054F4A429}" presName="hierChild3" presStyleCnt="0"/>
      <dgm:spPr/>
    </dgm:pt>
    <dgm:pt modelId="{BEC360C1-9752-4AC4-9628-781DA836417C}" type="pres">
      <dgm:prSet presAssocID="{D7A80ED1-4D44-4723-921A-9CFA943841B4}" presName="Name19" presStyleLbl="parChTrans1D3" presStyleIdx="0" presStyleCnt="3"/>
      <dgm:spPr/>
      <dgm:t>
        <a:bodyPr/>
        <a:lstStyle/>
        <a:p>
          <a:endParaRPr lang="sk-SK"/>
        </a:p>
      </dgm:t>
    </dgm:pt>
    <dgm:pt modelId="{C13F5A40-1FC9-402A-AD46-33FF3A37D1DD}" type="pres">
      <dgm:prSet presAssocID="{A4D58F12-3721-483A-BA10-99BDCC28E658}" presName="Name21" presStyleCnt="0"/>
      <dgm:spPr/>
    </dgm:pt>
    <dgm:pt modelId="{59FECA1E-FCB5-47F6-831C-3A75B4790305}" type="pres">
      <dgm:prSet presAssocID="{A4D58F12-3721-483A-BA10-99BDCC28E658}" presName="level2Shape" presStyleLbl="node3" presStyleIdx="0" presStyleCnt="3" custScaleX="124282" custScaleY="127695" custLinFactX="3373" custLinFactNeighborX="100000" custLinFactNeighborY="-20008"/>
      <dgm:spPr/>
      <dgm:t>
        <a:bodyPr/>
        <a:lstStyle/>
        <a:p>
          <a:endParaRPr lang="sk-SK"/>
        </a:p>
      </dgm:t>
    </dgm:pt>
    <dgm:pt modelId="{D3C5DD00-2A31-4AF5-BF0D-09E3BA339013}" type="pres">
      <dgm:prSet presAssocID="{A4D58F12-3721-483A-BA10-99BDCC28E658}" presName="hierChild3" presStyleCnt="0"/>
      <dgm:spPr/>
    </dgm:pt>
    <dgm:pt modelId="{2D54BB2D-BF08-4BF0-B9BB-8D754007E900}" type="pres">
      <dgm:prSet presAssocID="{FA58065A-2905-4479-AC84-C0601C07E483}" presName="Name19" presStyleLbl="parChTrans1D3" presStyleIdx="1" presStyleCnt="3"/>
      <dgm:spPr/>
      <dgm:t>
        <a:bodyPr/>
        <a:lstStyle/>
        <a:p>
          <a:endParaRPr lang="sk-SK"/>
        </a:p>
      </dgm:t>
    </dgm:pt>
    <dgm:pt modelId="{21266D8D-E158-4A70-AE7D-9E965F07BEA1}" type="pres">
      <dgm:prSet presAssocID="{436FFFB3-4DE1-4AD3-A540-64F0238BA0A5}" presName="Name21" presStyleCnt="0"/>
      <dgm:spPr/>
    </dgm:pt>
    <dgm:pt modelId="{8CC5DE2F-A28E-4378-A07C-4A2B8C9CE849}" type="pres">
      <dgm:prSet presAssocID="{436FFFB3-4DE1-4AD3-A540-64F0238BA0A5}" presName="level2Shape" presStyleLbl="node3" presStyleIdx="1" presStyleCnt="3" custScaleX="140368" custScaleY="127695" custLinFactX="3373" custLinFactNeighborX="100000" custLinFactNeighborY="-20008"/>
      <dgm:spPr/>
      <dgm:t>
        <a:bodyPr/>
        <a:lstStyle/>
        <a:p>
          <a:endParaRPr lang="sk-SK"/>
        </a:p>
      </dgm:t>
    </dgm:pt>
    <dgm:pt modelId="{B58896E3-7E88-4CCF-AB3A-7257DAF6EE4C}" type="pres">
      <dgm:prSet presAssocID="{436FFFB3-4DE1-4AD3-A540-64F0238BA0A5}" presName="hierChild3" presStyleCnt="0"/>
      <dgm:spPr/>
    </dgm:pt>
    <dgm:pt modelId="{CBBFE9FF-DCED-4A79-8CB6-6BD949AE032D}" type="pres">
      <dgm:prSet presAssocID="{3AE362DD-1152-43DE-B042-905644B0E412}" presName="Name19" presStyleLbl="parChTrans1D3" presStyleIdx="2" presStyleCnt="3"/>
      <dgm:spPr/>
      <dgm:t>
        <a:bodyPr/>
        <a:lstStyle/>
        <a:p>
          <a:endParaRPr lang="sk-SK"/>
        </a:p>
      </dgm:t>
    </dgm:pt>
    <dgm:pt modelId="{C27951C2-82D4-4E49-A029-A9C575E4359F}" type="pres">
      <dgm:prSet presAssocID="{BB372A90-1E7B-4BFC-B05A-FE37C44BE166}" presName="Name21" presStyleCnt="0"/>
      <dgm:spPr/>
    </dgm:pt>
    <dgm:pt modelId="{52B4BA3F-DF05-4EFC-B45B-92728963BDD4}" type="pres">
      <dgm:prSet presAssocID="{BB372A90-1E7B-4BFC-B05A-FE37C44BE166}" presName="level2Shape" presStyleLbl="node3" presStyleIdx="2" presStyleCnt="3" custScaleX="127459" custScaleY="127168" custLinFactX="3373" custLinFactNeighborX="100000" custLinFactNeighborY="-20008"/>
      <dgm:spPr/>
      <dgm:t>
        <a:bodyPr/>
        <a:lstStyle/>
        <a:p>
          <a:endParaRPr lang="sk-SK"/>
        </a:p>
      </dgm:t>
    </dgm:pt>
    <dgm:pt modelId="{07F1350B-2B41-4353-AC3D-718E5B1E1F45}" type="pres">
      <dgm:prSet presAssocID="{BB372A90-1E7B-4BFC-B05A-FE37C44BE166}" presName="hierChild3" presStyleCnt="0"/>
      <dgm:spPr/>
    </dgm:pt>
    <dgm:pt modelId="{6AABAD66-74EE-4DAE-9503-922B1422BCFD}" type="pres">
      <dgm:prSet presAssocID="{3A3BEEC9-84AC-4F02-AB8E-A6214A354946}" presName="Name19" presStyleLbl="parChTrans1D2" presStyleIdx="1" presStyleCnt="2"/>
      <dgm:spPr/>
      <dgm:t>
        <a:bodyPr/>
        <a:lstStyle/>
        <a:p>
          <a:endParaRPr lang="sk-SK"/>
        </a:p>
      </dgm:t>
    </dgm:pt>
    <dgm:pt modelId="{5AABB6B5-E056-423F-9465-579CD896F692}" type="pres">
      <dgm:prSet presAssocID="{7BA3DF78-FB96-4654-B107-90A0A92299A7}" presName="Name21" presStyleCnt="0"/>
      <dgm:spPr/>
    </dgm:pt>
    <dgm:pt modelId="{D5875807-26BC-4A60-852C-8B0A84657F0B}" type="pres">
      <dgm:prSet presAssocID="{7BA3DF78-FB96-4654-B107-90A0A92299A7}" presName="level2Shape" presStyleLbl="node2" presStyleIdx="1" presStyleCnt="2" custScaleX="220678" custScaleY="118297" custLinFactNeighborX="3496" custLinFactNeighborY="-1011"/>
      <dgm:spPr/>
      <dgm:t>
        <a:bodyPr/>
        <a:lstStyle/>
        <a:p>
          <a:endParaRPr lang="sk-SK"/>
        </a:p>
      </dgm:t>
    </dgm:pt>
    <dgm:pt modelId="{86EF3016-E76F-4A10-9969-2B6AD3641F9F}" type="pres">
      <dgm:prSet presAssocID="{7BA3DF78-FB96-4654-B107-90A0A92299A7}" presName="hierChild3" presStyleCnt="0"/>
      <dgm:spPr/>
    </dgm:pt>
    <dgm:pt modelId="{E4C1A1BB-8445-4B67-9379-E494F747F579}" type="pres">
      <dgm:prSet presAssocID="{EA256397-0ECE-42A7-BCEF-2F33B3A244E1}" presName="bgShapesFlow" presStyleCnt="0"/>
      <dgm:spPr/>
    </dgm:pt>
    <dgm:pt modelId="{2EE060D1-462E-4A6D-B08A-09A454029776}" type="pres">
      <dgm:prSet presAssocID="{9F78EE61-417E-4A3D-B76E-09D1DAA06173}" presName="rectComp" presStyleCnt="0"/>
      <dgm:spPr/>
    </dgm:pt>
    <dgm:pt modelId="{123C6EDB-5CE9-45BA-A5B1-4961ABF78347}" type="pres">
      <dgm:prSet presAssocID="{9F78EE61-417E-4A3D-B76E-09D1DAA06173}" presName="bgRect" presStyleLbl="bgShp" presStyleIdx="0" presStyleCnt="3" custLinFactNeighborY="4755"/>
      <dgm:spPr/>
      <dgm:t>
        <a:bodyPr/>
        <a:lstStyle/>
        <a:p>
          <a:endParaRPr lang="sk-SK"/>
        </a:p>
      </dgm:t>
    </dgm:pt>
    <dgm:pt modelId="{FA37236A-92D8-45CC-B4B6-C60A6C0B97C0}" type="pres">
      <dgm:prSet presAssocID="{9F78EE61-417E-4A3D-B76E-09D1DAA06173}" presName="bgRectTx" presStyleLbl="bgShp" presStyleIdx="0" presStyleCnt="3">
        <dgm:presLayoutVars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76598FA9-A409-44ED-B9BC-9466DED8BCA8}" type="pres">
      <dgm:prSet presAssocID="{9F78EE61-417E-4A3D-B76E-09D1DAA06173}" presName="spComp" presStyleCnt="0"/>
      <dgm:spPr/>
    </dgm:pt>
    <dgm:pt modelId="{64445DAF-E375-43E1-82C1-83FE4E9E46F6}" type="pres">
      <dgm:prSet presAssocID="{9F78EE61-417E-4A3D-B76E-09D1DAA06173}" presName="vSp" presStyleCnt="0"/>
      <dgm:spPr/>
    </dgm:pt>
    <dgm:pt modelId="{F5042D91-92B0-4B78-83E3-E95494802C37}" type="pres">
      <dgm:prSet presAssocID="{783844DA-70C2-4F5C-897E-69C87481A66F}" presName="rectComp" presStyleCnt="0"/>
      <dgm:spPr/>
    </dgm:pt>
    <dgm:pt modelId="{EFBC6B95-366D-47BD-9AA7-4D7325CB1EDB}" type="pres">
      <dgm:prSet presAssocID="{783844DA-70C2-4F5C-897E-69C87481A66F}" presName="bgRect" presStyleLbl="bgShp" presStyleIdx="1" presStyleCnt="3"/>
      <dgm:spPr/>
      <dgm:t>
        <a:bodyPr/>
        <a:lstStyle/>
        <a:p>
          <a:endParaRPr lang="sk-SK"/>
        </a:p>
      </dgm:t>
    </dgm:pt>
    <dgm:pt modelId="{CAB3ADE5-818F-4F56-AFE3-E90C8978E269}" type="pres">
      <dgm:prSet presAssocID="{783844DA-70C2-4F5C-897E-69C87481A66F}" presName="bgRectTx" presStyleLbl="bgShp" presStyleIdx="1" presStyleCnt="3">
        <dgm:presLayoutVars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0C5CC4BD-08E5-4659-A189-BBD3258C06FB}" type="pres">
      <dgm:prSet presAssocID="{783844DA-70C2-4F5C-897E-69C87481A66F}" presName="spComp" presStyleCnt="0"/>
      <dgm:spPr/>
    </dgm:pt>
    <dgm:pt modelId="{74D31AE0-1222-4322-A56D-0F4357168F96}" type="pres">
      <dgm:prSet presAssocID="{783844DA-70C2-4F5C-897E-69C87481A66F}" presName="vSp" presStyleCnt="0"/>
      <dgm:spPr/>
    </dgm:pt>
    <dgm:pt modelId="{F1A9512C-35D4-4A1F-8024-3C105D3D39A7}" type="pres">
      <dgm:prSet presAssocID="{18CE634F-BE9F-4CE7-BF50-E808ED2C9B5B}" presName="rectComp" presStyleCnt="0"/>
      <dgm:spPr/>
    </dgm:pt>
    <dgm:pt modelId="{DBFDBA9B-BFB3-41BB-8EE7-73D95CB50D71}" type="pres">
      <dgm:prSet presAssocID="{18CE634F-BE9F-4CE7-BF50-E808ED2C9B5B}" presName="bgRect" presStyleLbl="bgShp" presStyleIdx="2" presStyleCnt="3" custLinFactNeighborY="8413"/>
      <dgm:spPr/>
      <dgm:t>
        <a:bodyPr/>
        <a:lstStyle/>
        <a:p>
          <a:endParaRPr lang="sk-SK"/>
        </a:p>
      </dgm:t>
    </dgm:pt>
    <dgm:pt modelId="{CE21B740-4328-4F2A-B559-50E7DBE22198}" type="pres">
      <dgm:prSet presAssocID="{18CE634F-BE9F-4CE7-BF50-E808ED2C9B5B}" presName="bgRectTx" presStyleLbl="bgShp" presStyleIdx="2" presStyleCnt="3">
        <dgm:presLayoutVars>
          <dgm:bulletEnabled val="1"/>
        </dgm:presLayoutVars>
      </dgm:prSet>
      <dgm:spPr/>
      <dgm:t>
        <a:bodyPr/>
        <a:lstStyle/>
        <a:p>
          <a:endParaRPr lang="sk-SK"/>
        </a:p>
      </dgm:t>
    </dgm:pt>
  </dgm:ptLst>
  <dgm:cxnLst>
    <dgm:cxn modelId="{51932F9E-C281-4A1F-B280-39D720EBA229}" type="presOf" srcId="{3A3BEEC9-84AC-4F02-AB8E-A6214A354946}" destId="{6AABAD66-74EE-4DAE-9503-922B1422BCFD}" srcOrd="0" destOrd="0" presId="urn:microsoft.com/office/officeart/2005/8/layout/hierarchy6"/>
    <dgm:cxn modelId="{4DD0834A-0F0C-43C0-B50E-F6EBC62E90B8}" srcId="{EA256397-0ECE-42A7-BCEF-2F33B3A244E1}" destId="{55C648C6-3BE6-4F81-AFAD-4E77F4A05FF7}" srcOrd="0" destOrd="0" parTransId="{F680E977-D5EB-4625-9DF0-5BA420D6B9AD}" sibTransId="{D7550069-CC71-4AF0-8F86-243A54E37D6C}"/>
    <dgm:cxn modelId="{C81AA721-D43D-4389-ADE8-60378119C20D}" type="presOf" srcId="{783844DA-70C2-4F5C-897E-69C87481A66F}" destId="{CAB3ADE5-818F-4F56-AFE3-E90C8978E269}" srcOrd="1" destOrd="0" presId="urn:microsoft.com/office/officeart/2005/8/layout/hierarchy6"/>
    <dgm:cxn modelId="{0DAE6162-D120-4829-A64B-51744912A829}" srcId="{BA44D5A7-C688-4596-BCFF-51B054F4A429}" destId="{BB372A90-1E7B-4BFC-B05A-FE37C44BE166}" srcOrd="2" destOrd="0" parTransId="{3AE362DD-1152-43DE-B042-905644B0E412}" sibTransId="{35945DA9-60B2-4A21-A1D0-68FE64E9F678}"/>
    <dgm:cxn modelId="{84D1A834-88CC-468F-93EC-3604F466E2FD}" srcId="{BA44D5A7-C688-4596-BCFF-51B054F4A429}" destId="{A4D58F12-3721-483A-BA10-99BDCC28E658}" srcOrd="0" destOrd="0" parTransId="{D7A80ED1-4D44-4723-921A-9CFA943841B4}" sibTransId="{62D5D410-E098-487B-8F10-AF4043A22A90}"/>
    <dgm:cxn modelId="{7D585732-2831-4F11-A809-AF99B8288458}" type="presOf" srcId="{436FFFB3-4DE1-4AD3-A540-64F0238BA0A5}" destId="{8CC5DE2F-A28E-4378-A07C-4A2B8C9CE849}" srcOrd="0" destOrd="0" presId="urn:microsoft.com/office/officeart/2005/8/layout/hierarchy6"/>
    <dgm:cxn modelId="{5BDE209C-16B9-4EED-BDDC-1DB617AA9336}" type="presOf" srcId="{18CE634F-BE9F-4CE7-BF50-E808ED2C9B5B}" destId="{CE21B740-4328-4F2A-B559-50E7DBE22198}" srcOrd="1" destOrd="0" presId="urn:microsoft.com/office/officeart/2005/8/layout/hierarchy6"/>
    <dgm:cxn modelId="{331D0DFC-AC86-40B4-B132-091DB9DACAC3}" srcId="{EA256397-0ECE-42A7-BCEF-2F33B3A244E1}" destId="{9F78EE61-417E-4A3D-B76E-09D1DAA06173}" srcOrd="1" destOrd="0" parTransId="{113DB9E1-B477-4B1E-BBC5-7877A91A8661}" sibTransId="{5B0B186C-DA69-485B-8EB4-D08514EFE019}"/>
    <dgm:cxn modelId="{20F7CBC7-6351-466B-AE3F-2E6E25455CF4}" type="presOf" srcId="{9F78EE61-417E-4A3D-B76E-09D1DAA06173}" destId="{FA37236A-92D8-45CC-B4B6-C60A6C0B97C0}" srcOrd="1" destOrd="0" presId="urn:microsoft.com/office/officeart/2005/8/layout/hierarchy6"/>
    <dgm:cxn modelId="{F921EBE8-F39C-4D9D-959C-63D5090917E6}" type="presOf" srcId="{CBEED378-2080-48D2-B121-A93B20795392}" destId="{3014633F-9BD8-441B-890D-84AF3B8FA765}" srcOrd="0" destOrd="0" presId="urn:microsoft.com/office/officeart/2005/8/layout/hierarchy6"/>
    <dgm:cxn modelId="{FB093923-C1CE-4106-8AE4-216CF79A8FA3}" type="presOf" srcId="{BA44D5A7-C688-4596-BCFF-51B054F4A429}" destId="{9A555EE6-33EA-42C7-B82B-A4A81B26B642}" srcOrd="0" destOrd="0" presId="urn:microsoft.com/office/officeart/2005/8/layout/hierarchy6"/>
    <dgm:cxn modelId="{D97E6530-CDD5-4C64-BF18-EE74908FFD67}" srcId="{EA256397-0ECE-42A7-BCEF-2F33B3A244E1}" destId="{783844DA-70C2-4F5C-897E-69C87481A66F}" srcOrd="2" destOrd="0" parTransId="{BC87AD5E-3B39-4A5F-858F-F916145CF93F}" sibTransId="{4BA089A5-903D-44F6-8881-BC54CBF6C263}"/>
    <dgm:cxn modelId="{6C381D1A-ACCD-411E-AD7C-A9FE3EF6B9CA}" type="presOf" srcId="{3AE362DD-1152-43DE-B042-905644B0E412}" destId="{CBBFE9FF-DCED-4A79-8CB6-6BD949AE032D}" srcOrd="0" destOrd="0" presId="urn:microsoft.com/office/officeart/2005/8/layout/hierarchy6"/>
    <dgm:cxn modelId="{59CF4324-041D-4714-A6C6-2ECF2ACB383C}" type="presOf" srcId="{55C648C6-3BE6-4F81-AFAD-4E77F4A05FF7}" destId="{D704BB64-95FE-494F-BCF2-472FA192E844}" srcOrd="0" destOrd="0" presId="urn:microsoft.com/office/officeart/2005/8/layout/hierarchy6"/>
    <dgm:cxn modelId="{03BAA9CD-42EB-41E8-A4B0-BBC334E22057}" type="presOf" srcId="{A4D58F12-3721-483A-BA10-99BDCC28E658}" destId="{59FECA1E-FCB5-47F6-831C-3A75B4790305}" srcOrd="0" destOrd="0" presId="urn:microsoft.com/office/officeart/2005/8/layout/hierarchy6"/>
    <dgm:cxn modelId="{18BA3DE1-0577-4402-B927-CE52E345E553}" srcId="{EA256397-0ECE-42A7-BCEF-2F33B3A244E1}" destId="{18CE634F-BE9F-4CE7-BF50-E808ED2C9B5B}" srcOrd="3" destOrd="0" parTransId="{CD23D6A3-44F7-4EFB-90CA-AFFEF321A0B1}" sibTransId="{8817833F-4033-4ECD-925F-C86C7C6A2426}"/>
    <dgm:cxn modelId="{8F4840D5-54AD-4E77-A793-42FB7E96944B}" type="presOf" srcId="{D7A80ED1-4D44-4723-921A-9CFA943841B4}" destId="{BEC360C1-9752-4AC4-9628-781DA836417C}" srcOrd="0" destOrd="0" presId="urn:microsoft.com/office/officeart/2005/8/layout/hierarchy6"/>
    <dgm:cxn modelId="{E0330521-78CB-4182-9128-E8876750AC0E}" type="presOf" srcId="{783844DA-70C2-4F5C-897E-69C87481A66F}" destId="{EFBC6B95-366D-47BD-9AA7-4D7325CB1EDB}" srcOrd="0" destOrd="0" presId="urn:microsoft.com/office/officeart/2005/8/layout/hierarchy6"/>
    <dgm:cxn modelId="{262C06DC-997A-4E5C-A66F-B07CB7D66159}" type="presOf" srcId="{BB372A90-1E7B-4BFC-B05A-FE37C44BE166}" destId="{52B4BA3F-DF05-4EFC-B45B-92728963BDD4}" srcOrd="0" destOrd="0" presId="urn:microsoft.com/office/officeart/2005/8/layout/hierarchy6"/>
    <dgm:cxn modelId="{11A72ECC-4DC2-4719-8A1C-667C34B7490E}" srcId="{55C648C6-3BE6-4F81-AFAD-4E77F4A05FF7}" destId="{BA44D5A7-C688-4596-BCFF-51B054F4A429}" srcOrd="0" destOrd="0" parTransId="{CBEED378-2080-48D2-B121-A93B20795392}" sibTransId="{26D8FF08-5FB3-4B95-B6D0-C8255AC56526}"/>
    <dgm:cxn modelId="{63CD526A-7FC5-4DDA-A9F1-031DA408F4C5}" type="presOf" srcId="{18CE634F-BE9F-4CE7-BF50-E808ED2C9B5B}" destId="{DBFDBA9B-BFB3-41BB-8EE7-73D95CB50D71}" srcOrd="0" destOrd="0" presId="urn:microsoft.com/office/officeart/2005/8/layout/hierarchy6"/>
    <dgm:cxn modelId="{1BC791AC-27DC-415F-8742-4F7C3C61C029}" type="presOf" srcId="{9F78EE61-417E-4A3D-B76E-09D1DAA06173}" destId="{123C6EDB-5CE9-45BA-A5B1-4961ABF78347}" srcOrd="0" destOrd="0" presId="urn:microsoft.com/office/officeart/2005/8/layout/hierarchy6"/>
    <dgm:cxn modelId="{C5A10B1E-C527-401B-8C1F-E0BAA029505A}" type="presOf" srcId="{EA256397-0ECE-42A7-BCEF-2F33B3A244E1}" destId="{11F1CE12-D01B-42C8-A8C1-CDAB4CF26BD0}" srcOrd="0" destOrd="0" presId="urn:microsoft.com/office/officeart/2005/8/layout/hierarchy6"/>
    <dgm:cxn modelId="{DD88B398-A7B6-4276-AE8B-048A271E0BFA}" srcId="{55C648C6-3BE6-4F81-AFAD-4E77F4A05FF7}" destId="{7BA3DF78-FB96-4654-B107-90A0A92299A7}" srcOrd="1" destOrd="0" parTransId="{3A3BEEC9-84AC-4F02-AB8E-A6214A354946}" sibTransId="{F238DDBE-03A8-4B04-8237-C4ECBD2B65C4}"/>
    <dgm:cxn modelId="{1E47E4E8-7965-4336-9416-9472F103F7E6}" srcId="{BA44D5A7-C688-4596-BCFF-51B054F4A429}" destId="{436FFFB3-4DE1-4AD3-A540-64F0238BA0A5}" srcOrd="1" destOrd="0" parTransId="{FA58065A-2905-4479-AC84-C0601C07E483}" sibTransId="{A478FE3D-BE8E-41D9-B5EE-74299A5BB565}"/>
    <dgm:cxn modelId="{48BFAA94-B0D2-49C4-9982-B3417A2465CD}" type="presOf" srcId="{FA58065A-2905-4479-AC84-C0601C07E483}" destId="{2D54BB2D-BF08-4BF0-B9BB-8D754007E900}" srcOrd="0" destOrd="0" presId="urn:microsoft.com/office/officeart/2005/8/layout/hierarchy6"/>
    <dgm:cxn modelId="{911CEE9B-CBB1-4E3C-908E-8E266131824D}" type="presOf" srcId="{7BA3DF78-FB96-4654-B107-90A0A92299A7}" destId="{D5875807-26BC-4A60-852C-8B0A84657F0B}" srcOrd="0" destOrd="0" presId="urn:microsoft.com/office/officeart/2005/8/layout/hierarchy6"/>
    <dgm:cxn modelId="{7C9B4A99-E13F-4AB1-B840-F002138357A0}" type="presParOf" srcId="{11F1CE12-D01B-42C8-A8C1-CDAB4CF26BD0}" destId="{DA5F84F3-5994-4C4D-BDF8-2138B598EE8A}" srcOrd="0" destOrd="0" presId="urn:microsoft.com/office/officeart/2005/8/layout/hierarchy6"/>
    <dgm:cxn modelId="{72AA4690-743F-46D7-B21A-2D31DD0FC13C}" type="presParOf" srcId="{DA5F84F3-5994-4C4D-BDF8-2138B598EE8A}" destId="{5CC5298D-0ECF-4ED5-ADD3-EC96B12AD9DF}" srcOrd="0" destOrd="0" presId="urn:microsoft.com/office/officeart/2005/8/layout/hierarchy6"/>
    <dgm:cxn modelId="{741D076C-E07E-47C9-94B8-9403B1A2C9A1}" type="presParOf" srcId="{DA5F84F3-5994-4C4D-BDF8-2138B598EE8A}" destId="{6FB72288-1CA3-486F-A301-B0B8A38F622B}" srcOrd="1" destOrd="0" presId="urn:microsoft.com/office/officeart/2005/8/layout/hierarchy6"/>
    <dgm:cxn modelId="{6D19B85C-48EF-40DA-9265-A0EB72D1D82A}" type="presParOf" srcId="{6FB72288-1CA3-486F-A301-B0B8A38F622B}" destId="{EEDF0DC1-26BD-4D53-854F-AFAC90FABE3A}" srcOrd="0" destOrd="0" presId="urn:microsoft.com/office/officeart/2005/8/layout/hierarchy6"/>
    <dgm:cxn modelId="{E717001E-6BCE-4005-8B8D-56F85F913C77}" type="presParOf" srcId="{EEDF0DC1-26BD-4D53-854F-AFAC90FABE3A}" destId="{D704BB64-95FE-494F-BCF2-472FA192E844}" srcOrd="0" destOrd="0" presId="urn:microsoft.com/office/officeart/2005/8/layout/hierarchy6"/>
    <dgm:cxn modelId="{D1D0686D-DB8F-4529-9C24-917E78594185}" type="presParOf" srcId="{EEDF0DC1-26BD-4D53-854F-AFAC90FABE3A}" destId="{B102994C-BAD6-492C-B316-C529B86E5E64}" srcOrd="1" destOrd="0" presId="urn:microsoft.com/office/officeart/2005/8/layout/hierarchy6"/>
    <dgm:cxn modelId="{AABE5AFE-5E9F-437B-8403-B469BF0737F2}" type="presParOf" srcId="{B102994C-BAD6-492C-B316-C529B86E5E64}" destId="{3014633F-9BD8-441B-890D-84AF3B8FA765}" srcOrd="0" destOrd="0" presId="urn:microsoft.com/office/officeart/2005/8/layout/hierarchy6"/>
    <dgm:cxn modelId="{8ABC31A0-BBF0-49E6-BDB6-11A7BD979776}" type="presParOf" srcId="{B102994C-BAD6-492C-B316-C529B86E5E64}" destId="{DD1077BF-5566-489D-A2E5-F6B4CCFFCEA2}" srcOrd="1" destOrd="0" presId="urn:microsoft.com/office/officeart/2005/8/layout/hierarchy6"/>
    <dgm:cxn modelId="{B2DC17CC-D17C-40CF-B5FB-195E580E46B3}" type="presParOf" srcId="{DD1077BF-5566-489D-A2E5-F6B4CCFFCEA2}" destId="{9A555EE6-33EA-42C7-B82B-A4A81B26B642}" srcOrd="0" destOrd="0" presId="urn:microsoft.com/office/officeart/2005/8/layout/hierarchy6"/>
    <dgm:cxn modelId="{71985E9C-C306-4A4D-AA4D-CAD4D1EE0611}" type="presParOf" srcId="{DD1077BF-5566-489D-A2E5-F6B4CCFFCEA2}" destId="{10B866D0-7AE9-4F94-A144-8CDC0E69855B}" srcOrd="1" destOrd="0" presId="urn:microsoft.com/office/officeart/2005/8/layout/hierarchy6"/>
    <dgm:cxn modelId="{399054EB-13D3-477E-BA0E-BEBA5091E24B}" type="presParOf" srcId="{10B866D0-7AE9-4F94-A144-8CDC0E69855B}" destId="{BEC360C1-9752-4AC4-9628-781DA836417C}" srcOrd="0" destOrd="0" presId="urn:microsoft.com/office/officeart/2005/8/layout/hierarchy6"/>
    <dgm:cxn modelId="{69AF446C-06EE-47F1-98C5-D2E99BF019D5}" type="presParOf" srcId="{10B866D0-7AE9-4F94-A144-8CDC0E69855B}" destId="{C13F5A40-1FC9-402A-AD46-33FF3A37D1DD}" srcOrd="1" destOrd="0" presId="urn:microsoft.com/office/officeart/2005/8/layout/hierarchy6"/>
    <dgm:cxn modelId="{84499966-6DFA-494B-A1D4-A8410C9B5225}" type="presParOf" srcId="{C13F5A40-1FC9-402A-AD46-33FF3A37D1DD}" destId="{59FECA1E-FCB5-47F6-831C-3A75B4790305}" srcOrd="0" destOrd="0" presId="urn:microsoft.com/office/officeart/2005/8/layout/hierarchy6"/>
    <dgm:cxn modelId="{1AE96A22-E3AD-4D08-B919-A11FBDD2B47D}" type="presParOf" srcId="{C13F5A40-1FC9-402A-AD46-33FF3A37D1DD}" destId="{D3C5DD00-2A31-4AF5-BF0D-09E3BA339013}" srcOrd="1" destOrd="0" presId="urn:microsoft.com/office/officeart/2005/8/layout/hierarchy6"/>
    <dgm:cxn modelId="{79114CDB-8E76-415F-B640-B8A1A5CD27C7}" type="presParOf" srcId="{10B866D0-7AE9-4F94-A144-8CDC0E69855B}" destId="{2D54BB2D-BF08-4BF0-B9BB-8D754007E900}" srcOrd="2" destOrd="0" presId="urn:microsoft.com/office/officeart/2005/8/layout/hierarchy6"/>
    <dgm:cxn modelId="{07DD3940-B04E-4368-9EE7-4A677778DD14}" type="presParOf" srcId="{10B866D0-7AE9-4F94-A144-8CDC0E69855B}" destId="{21266D8D-E158-4A70-AE7D-9E965F07BEA1}" srcOrd="3" destOrd="0" presId="urn:microsoft.com/office/officeart/2005/8/layout/hierarchy6"/>
    <dgm:cxn modelId="{59B207B6-32C7-4C83-A7F4-4A4D92648E76}" type="presParOf" srcId="{21266D8D-E158-4A70-AE7D-9E965F07BEA1}" destId="{8CC5DE2F-A28E-4378-A07C-4A2B8C9CE849}" srcOrd="0" destOrd="0" presId="urn:microsoft.com/office/officeart/2005/8/layout/hierarchy6"/>
    <dgm:cxn modelId="{9513FBA4-7042-45F8-9A38-96FDF340C311}" type="presParOf" srcId="{21266D8D-E158-4A70-AE7D-9E965F07BEA1}" destId="{B58896E3-7E88-4CCF-AB3A-7257DAF6EE4C}" srcOrd="1" destOrd="0" presId="urn:microsoft.com/office/officeart/2005/8/layout/hierarchy6"/>
    <dgm:cxn modelId="{60C99B55-9771-48A1-A133-356AB90DE719}" type="presParOf" srcId="{10B866D0-7AE9-4F94-A144-8CDC0E69855B}" destId="{CBBFE9FF-DCED-4A79-8CB6-6BD949AE032D}" srcOrd="4" destOrd="0" presId="urn:microsoft.com/office/officeart/2005/8/layout/hierarchy6"/>
    <dgm:cxn modelId="{5F46683A-F8A2-464D-8965-12ED82D6153A}" type="presParOf" srcId="{10B866D0-7AE9-4F94-A144-8CDC0E69855B}" destId="{C27951C2-82D4-4E49-A029-A9C575E4359F}" srcOrd="5" destOrd="0" presId="urn:microsoft.com/office/officeart/2005/8/layout/hierarchy6"/>
    <dgm:cxn modelId="{8809E42C-49C5-4B30-9F1A-ABED84640272}" type="presParOf" srcId="{C27951C2-82D4-4E49-A029-A9C575E4359F}" destId="{52B4BA3F-DF05-4EFC-B45B-92728963BDD4}" srcOrd="0" destOrd="0" presId="urn:microsoft.com/office/officeart/2005/8/layout/hierarchy6"/>
    <dgm:cxn modelId="{3C4052B4-CA42-4F4B-8D39-20668CCDAC61}" type="presParOf" srcId="{C27951C2-82D4-4E49-A029-A9C575E4359F}" destId="{07F1350B-2B41-4353-AC3D-718E5B1E1F45}" srcOrd="1" destOrd="0" presId="urn:microsoft.com/office/officeart/2005/8/layout/hierarchy6"/>
    <dgm:cxn modelId="{25FBE3CC-9F54-441E-9BCA-0F5FE010EE4F}" type="presParOf" srcId="{B102994C-BAD6-492C-B316-C529B86E5E64}" destId="{6AABAD66-74EE-4DAE-9503-922B1422BCFD}" srcOrd="2" destOrd="0" presId="urn:microsoft.com/office/officeart/2005/8/layout/hierarchy6"/>
    <dgm:cxn modelId="{059B405B-A4DA-49A6-A11A-A01085D98502}" type="presParOf" srcId="{B102994C-BAD6-492C-B316-C529B86E5E64}" destId="{5AABB6B5-E056-423F-9465-579CD896F692}" srcOrd="3" destOrd="0" presId="urn:microsoft.com/office/officeart/2005/8/layout/hierarchy6"/>
    <dgm:cxn modelId="{5B5D67D2-277B-4DF0-8CE1-3EB00D1CAD97}" type="presParOf" srcId="{5AABB6B5-E056-423F-9465-579CD896F692}" destId="{D5875807-26BC-4A60-852C-8B0A84657F0B}" srcOrd="0" destOrd="0" presId="urn:microsoft.com/office/officeart/2005/8/layout/hierarchy6"/>
    <dgm:cxn modelId="{1757446C-E55C-434E-B0D9-95B29BF5B992}" type="presParOf" srcId="{5AABB6B5-E056-423F-9465-579CD896F692}" destId="{86EF3016-E76F-4A10-9969-2B6AD3641F9F}" srcOrd="1" destOrd="0" presId="urn:microsoft.com/office/officeart/2005/8/layout/hierarchy6"/>
    <dgm:cxn modelId="{83ABB167-19FD-4822-ACEA-BB3F29723660}" type="presParOf" srcId="{11F1CE12-D01B-42C8-A8C1-CDAB4CF26BD0}" destId="{E4C1A1BB-8445-4B67-9379-E494F747F579}" srcOrd="1" destOrd="0" presId="urn:microsoft.com/office/officeart/2005/8/layout/hierarchy6"/>
    <dgm:cxn modelId="{4F18ADDD-33B7-4FD5-BABD-659727887D29}" type="presParOf" srcId="{E4C1A1BB-8445-4B67-9379-E494F747F579}" destId="{2EE060D1-462E-4A6D-B08A-09A454029776}" srcOrd="0" destOrd="0" presId="urn:microsoft.com/office/officeart/2005/8/layout/hierarchy6"/>
    <dgm:cxn modelId="{115D9A40-49F5-47D2-AB87-4396575EF986}" type="presParOf" srcId="{2EE060D1-462E-4A6D-B08A-09A454029776}" destId="{123C6EDB-5CE9-45BA-A5B1-4961ABF78347}" srcOrd="0" destOrd="0" presId="urn:microsoft.com/office/officeart/2005/8/layout/hierarchy6"/>
    <dgm:cxn modelId="{769DA0EE-F2C3-4970-85E5-430BB74ADC50}" type="presParOf" srcId="{2EE060D1-462E-4A6D-B08A-09A454029776}" destId="{FA37236A-92D8-45CC-B4B6-C60A6C0B97C0}" srcOrd="1" destOrd="0" presId="urn:microsoft.com/office/officeart/2005/8/layout/hierarchy6"/>
    <dgm:cxn modelId="{B194E7D0-35FF-4405-A76A-EE94689F6911}" type="presParOf" srcId="{E4C1A1BB-8445-4B67-9379-E494F747F579}" destId="{76598FA9-A409-44ED-B9BC-9466DED8BCA8}" srcOrd="1" destOrd="0" presId="urn:microsoft.com/office/officeart/2005/8/layout/hierarchy6"/>
    <dgm:cxn modelId="{B7C48996-87BE-48E4-9F56-F33C0FC4EAF8}" type="presParOf" srcId="{76598FA9-A409-44ED-B9BC-9466DED8BCA8}" destId="{64445DAF-E375-43E1-82C1-83FE4E9E46F6}" srcOrd="0" destOrd="0" presId="urn:microsoft.com/office/officeart/2005/8/layout/hierarchy6"/>
    <dgm:cxn modelId="{CDD10607-7BCC-4634-8343-2A6C01C073DA}" type="presParOf" srcId="{E4C1A1BB-8445-4B67-9379-E494F747F579}" destId="{F5042D91-92B0-4B78-83E3-E95494802C37}" srcOrd="2" destOrd="0" presId="urn:microsoft.com/office/officeart/2005/8/layout/hierarchy6"/>
    <dgm:cxn modelId="{3FA0F284-96E1-46CD-AD51-4BA6788CC748}" type="presParOf" srcId="{F5042D91-92B0-4B78-83E3-E95494802C37}" destId="{EFBC6B95-366D-47BD-9AA7-4D7325CB1EDB}" srcOrd="0" destOrd="0" presId="urn:microsoft.com/office/officeart/2005/8/layout/hierarchy6"/>
    <dgm:cxn modelId="{86FFC9B2-3639-41B2-8AFD-48F713A54B31}" type="presParOf" srcId="{F5042D91-92B0-4B78-83E3-E95494802C37}" destId="{CAB3ADE5-818F-4F56-AFE3-E90C8978E269}" srcOrd="1" destOrd="0" presId="urn:microsoft.com/office/officeart/2005/8/layout/hierarchy6"/>
    <dgm:cxn modelId="{386B8100-7280-41B2-978C-5A3A3FAC77E3}" type="presParOf" srcId="{E4C1A1BB-8445-4B67-9379-E494F747F579}" destId="{0C5CC4BD-08E5-4659-A189-BBD3258C06FB}" srcOrd="3" destOrd="0" presId="urn:microsoft.com/office/officeart/2005/8/layout/hierarchy6"/>
    <dgm:cxn modelId="{4789695B-D364-47E3-B342-CA56CFF7843D}" type="presParOf" srcId="{0C5CC4BD-08E5-4659-A189-BBD3258C06FB}" destId="{74D31AE0-1222-4322-A56D-0F4357168F96}" srcOrd="0" destOrd="0" presId="urn:microsoft.com/office/officeart/2005/8/layout/hierarchy6"/>
    <dgm:cxn modelId="{1EDBA5C2-B129-4474-AEB2-0AF72381EB08}" type="presParOf" srcId="{E4C1A1BB-8445-4B67-9379-E494F747F579}" destId="{F1A9512C-35D4-4A1F-8024-3C105D3D39A7}" srcOrd="4" destOrd="0" presId="urn:microsoft.com/office/officeart/2005/8/layout/hierarchy6"/>
    <dgm:cxn modelId="{3612A93B-D53A-41FB-899A-311675274E47}" type="presParOf" srcId="{F1A9512C-35D4-4A1F-8024-3C105D3D39A7}" destId="{DBFDBA9B-BFB3-41BB-8EE7-73D95CB50D71}" srcOrd="0" destOrd="0" presId="urn:microsoft.com/office/officeart/2005/8/layout/hierarchy6"/>
    <dgm:cxn modelId="{345CCC90-35A2-4BDA-AD29-8A224745A76C}" type="presParOf" srcId="{F1A9512C-35D4-4A1F-8024-3C105D3D39A7}" destId="{CE21B740-4328-4F2A-B559-50E7DBE22198}" srcOrd="1" destOrd="0" presId="urn:microsoft.com/office/officeart/2005/8/layout/hierarchy6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BFDBA9B-BFB3-41BB-8EE7-73D95CB50D71}">
      <dsp:nvSpPr>
        <dsp:cNvPr id="0" name=""/>
        <dsp:cNvSpPr/>
      </dsp:nvSpPr>
      <dsp:spPr>
        <a:xfrm>
          <a:off x="0" y="1296152"/>
          <a:ext cx="4867274" cy="450603"/>
        </a:xfrm>
        <a:prstGeom prst="roundRect">
          <a:avLst>
            <a:gd name="adj" fmla="val 1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1120" tIns="71120" rIns="71120" bIns="7112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000" b="0" kern="1200" dirty="0" smtClean="0">
              <a:solidFill>
                <a:srgbClr val="000000">
                  <a:hueOff val="0"/>
                  <a:satOff val="0"/>
                  <a:lumOff val="0"/>
                  <a:alphaOff val="0"/>
                </a:srgbClr>
              </a:solidFill>
              <a:latin typeface="Arial Narrow" panose="020B0606020202030204" pitchFamily="34" charset="0"/>
              <a:ea typeface="+mn-ea"/>
              <a:cs typeface="+mn-cs"/>
            </a:rPr>
            <a:t>Realizácia</a:t>
          </a:r>
          <a:endParaRPr lang="sk-SK" sz="1000" b="0" kern="1200">
            <a:latin typeface="Arial Narrow" panose="020B0606020202030204" pitchFamily="34" charset="0"/>
          </a:endParaRPr>
        </a:p>
      </dsp:txBody>
      <dsp:txXfrm>
        <a:off x="0" y="1296152"/>
        <a:ext cx="1460182" cy="450603"/>
      </dsp:txXfrm>
    </dsp:sp>
    <dsp:sp modelId="{EFBC6B95-366D-47BD-9AA7-4D7325CB1EDB}">
      <dsp:nvSpPr>
        <dsp:cNvPr id="0" name=""/>
        <dsp:cNvSpPr/>
      </dsp:nvSpPr>
      <dsp:spPr>
        <a:xfrm>
          <a:off x="0" y="732539"/>
          <a:ext cx="4867274" cy="450603"/>
        </a:xfrm>
        <a:prstGeom prst="roundRect">
          <a:avLst>
            <a:gd name="adj" fmla="val 1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1120" tIns="71120" rIns="71120" bIns="7112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000" kern="1200">
              <a:latin typeface="Arial Narrow" panose="020B0606020202030204" pitchFamily="34" charset="0"/>
            </a:rPr>
            <a:t>Koordinácia, príprava a monitoring</a:t>
          </a:r>
        </a:p>
      </dsp:txBody>
      <dsp:txXfrm>
        <a:off x="0" y="732539"/>
        <a:ext cx="1460182" cy="450603"/>
      </dsp:txXfrm>
    </dsp:sp>
    <dsp:sp modelId="{123C6EDB-5CE9-45BA-A5B1-4961ABF78347}">
      <dsp:nvSpPr>
        <dsp:cNvPr id="0" name=""/>
        <dsp:cNvSpPr/>
      </dsp:nvSpPr>
      <dsp:spPr>
        <a:xfrm>
          <a:off x="0" y="228261"/>
          <a:ext cx="4867274" cy="450603"/>
        </a:xfrm>
        <a:prstGeom prst="roundRect">
          <a:avLst>
            <a:gd name="adj" fmla="val 1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1120" tIns="71120" rIns="71120" bIns="7112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000" kern="1200">
              <a:latin typeface="Arial Narrow" panose="020B0606020202030204" pitchFamily="34" charset="0"/>
            </a:rPr>
            <a:t>Strategické rozhodnutia</a:t>
          </a:r>
        </a:p>
      </dsp:txBody>
      <dsp:txXfrm>
        <a:off x="0" y="228261"/>
        <a:ext cx="1460182" cy="450603"/>
      </dsp:txXfrm>
    </dsp:sp>
    <dsp:sp modelId="{D704BB64-95FE-494F-BCF2-472FA192E844}">
      <dsp:nvSpPr>
        <dsp:cNvPr id="0" name=""/>
        <dsp:cNvSpPr/>
      </dsp:nvSpPr>
      <dsp:spPr>
        <a:xfrm>
          <a:off x="3016306" y="244385"/>
          <a:ext cx="848880" cy="375502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000" kern="1200">
              <a:latin typeface="Arial Narrow" panose="020B0606020202030204" pitchFamily="34" charset="0"/>
            </a:rPr>
            <a:t>Vláda SR</a:t>
          </a:r>
        </a:p>
      </dsp:txBody>
      <dsp:txXfrm>
        <a:off x="3027304" y="255383"/>
        <a:ext cx="826884" cy="353506"/>
      </dsp:txXfrm>
    </dsp:sp>
    <dsp:sp modelId="{3014633F-9BD8-441B-890D-84AF3B8FA765}">
      <dsp:nvSpPr>
        <dsp:cNvPr id="0" name=""/>
        <dsp:cNvSpPr/>
      </dsp:nvSpPr>
      <dsp:spPr>
        <a:xfrm>
          <a:off x="2734769" y="619888"/>
          <a:ext cx="705976" cy="150201"/>
        </a:xfrm>
        <a:custGeom>
          <a:avLst/>
          <a:gdLst/>
          <a:ahLst/>
          <a:cxnLst/>
          <a:rect l="0" t="0" r="0" b="0"/>
          <a:pathLst>
            <a:path>
              <a:moveTo>
                <a:pt x="705976" y="0"/>
              </a:moveTo>
              <a:lnTo>
                <a:pt x="705976" y="75100"/>
              </a:lnTo>
              <a:lnTo>
                <a:pt x="0" y="75100"/>
              </a:lnTo>
              <a:lnTo>
                <a:pt x="0" y="15020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A555EE6-33EA-42C7-B82B-A4A81B26B642}">
      <dsp:nvSpPr>
        <dsp:cNvPr id="0" name=""/>
        <dsp:cNvSpPr/>
      </dsp:nvSpPr>
      <dsp:spPr>
        <a:xfrm>
          <a:off x="2112889" y="770089"/>
          <a:ext cx="1243760" cy="45077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sk-SK" sz="900" kern="1200">
              <a:latin typeface="Arial Narrow" panose="020B0606020202030204" pitchFamily="34" charset="0"/>
            </a:rPr>
            <a:t>MF SR</a:t>
          </a:r>
        </a:p>
        <a:p>
          <a:pPr lvl="0" algn="ctr" defTabSz="4000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sk-SK" sz="900" kern="1200">
              <a:latin typeface="Arial Narrow" panose="020B0606020202030204" pitchFamily="34" charset="0"/>
            </a:rPr>
            <a:t>(Útvar revízie výd</a:t>
          </a:r>
          <a:r>
            <a:rPr lang="en-US" sz="900" kern="1200">
              <a:latin typeface="Arial Narrow" panose="020B0606020202030204" pitchFamily="34" charset="0"/>
            </a:rPr>
            <a:t>av</a:t>
          </a:r>
          <a:r>
            <a:rPr lang="sk-SK" sz="900" kern="1200">
              <a:latin typeface="Arial Narrow" panose="020B0606020202030204" pitchFamily="34" charset="0"/>
            </a:rPr>
            <a:t>kov</a:t>
          </a:r>
          <a:r>
            <a:rPr lang="en-US" sz="900" kern="1200">
              <a:latin typeface="Arial Narrow" panose="020B0606020202030204" pitchFamily="34" charset="0"/>
            </a:rPr>
            <a:t>)</a:t>
          </a:r>
          <a:endParaRPr lang="sk-SK" sz="900" kern="1200">
            <a:latin typeface="Arial Narrow" panose="020B0606020202030204" pitchFamily="34" charset="0"/>
          </a:endParaRPr>
        </a:p>
      </dsp:txBody>
      <dsp:txXfrm>
        <a:off x="2126092" y="783292"/>
        <a:ext cx="1217354" cy="424369"/>
      </dsp:txXfrm>
    </dsp:sp>
    <dsp:sp modelId="{BEC360C1-9752-4AC4-9628-781DA836417C}">
      <dsp:nvSpPr>
        <dsp:cNvPr id="0" name=""/>
        <dsp:cNvSpPr/>
      </dsp:nvSpPr>
      <dsp:spPr>
        <a:xfrm>
          <a:off x="2393772" y="1175145"/>
          <a:ext cx="340996" cy="91440"/>
        </a:xfrm>
        <a:custGeom>
          <a:avLst/>
          <a:gdLst/>
          <a:ahLst/>
          <a:cxnLst/>
          <a:rect l="0" t="0" r="0" b="0"/>
          <a:pathLst>
            <a:path>
              <a:moveTo>
                <a:pt x="340996" y="45720"/>
              </a:moveTo>
              <a:lnTo>
                <a:pt x="340996" y="83255"/>
              </a:lnTo>
              <a:lnTo>
                <a:pt x="0" y="83255"/>
              </a:lnTo>
              <a:lnTo>
                <a:pt x="0" y="120790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9FECA1E-FCB5-47F6-831C-3A75B4790305}">
      <dsp:nvSpPr>
        <dsp:cNvPr id="0" name=""/>
        <dsp:cNvSpPr/>
      </dsp:nvSpPr>
      <dsp:spPr>
        <a:xfrm>
          <a:off x="2043760" y="1295935"/>
          <a:ext cx="700023" cy="479498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800" kern="1200" dirty="0" smtClean="0">
              <a:solidFill>
                <a:srgbClr val="FFFFFF"/>
              </a:solidFill>
              <a:latin typeface="Arial Narrow" panose="020B0606020202030204" pitchFamily="34" charset="0"/>
              <a:ea typeface="+mn-ea"/>
              <a:cs typeface="+mn-cs"/>
            </a:rPr>
            <a:t>Spoločný tím analytických jednotiek pre školstvo </a:t>
          </a:r>
          <a:endParaRPr lang="sk-SK" sz="800" kern="1200">
            <a:latin typeface="Arial Narrow" panose="020B0606020202030204" pitchFamily="34" charset="0"/>
          </a:endParaRPr>
        </a:p>
      </dsp:txBody>
      <dsp:txXfrm>
        <a:off x="2057804" y="1309979"/>
        <a:ext cx="671935" cy="451410"/>
      </dsp:txXfrm>
    </dsp:sp>
    <dsp:sp modelId="{2D54BB2D-BF08-4BF0-B9BB-8D754007E900}">
      <dsp:nvSpPr>
        <dsp:cNvPr id="0" name=""/>
        <dsp:cNvSpPr/>
      </dsp:nvSpPr>
      <dsp:spPr>
        <a:xfrm>
          <a:off x="2734769" y="1175145"/>
          <a:ext cx="573305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0" y="83255"/>
              </a:lnTo>
              <a:lnTo>
                <a:pt x="573305" y="83255"/>
              </a:lnTo>
              <a:lnTo>
                <a:pt x="573305" y="120790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CC5DE2F-A28E-4378-A07C-4A2B8C9CE849}">
      <dsp:nvSpPr>
        <dsp:cNvPr id="0" name=""/>
        <dsp:cNvSpPr/>
      </dsp:nvSpPr>
      <dsp:spPr>
        <a:xfrm>
          <a:off x="2912760" y="1295935"/>
          <a:ext cx="790628" cy="479498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800" kern="1200" dirty="0" smtClean="0">
              <a:solidFill>
                <a:srgbClr val="FFFFFF"/>
              </a:solidFill>
              <a:latin typeface="Arial Narrow" panose="020B0606020202030204" pitchFamily="34" charset="0"/>
              <a:ea typeface="+mn-ea"/>
              <a:cs typeface="+mn-cs"/>
            </a:rPr>
            <a:t>Spoločný tím analytických jednotiek pre životné prostredie</a:t>
          </a:r>
          <a:endParaRPr lang="sk-SK" sz="800" kern="1200">
            <a:latin typeface="Arial Narrow" panose="020B0606020202030204" pitchFamily="34" charset="0"/>
          </a:endParaRPr>
        </a:p>
      </dsp:txBody>
      <dsp:txXfrm>
        <a:off x="2926804" y="1309979"/>
        <a:ext cx="762540" cy="451410"/>
      </dsp:txXfrm>
    </dsp:sp>
    <dsp:sp modelId="{CBBFE9FF-DCED-4A79-8CB6-6BD949AE032D}">
      <dsp:nvSpPr>
        <dsp:cNvPr id="0" name=""/>
        <dsp:cNvSpPr/>
      </dsp:nvSpPr>
      <dsp:spPr>
        <a:xfrm>
          <a:off x="2734769" y="1175145"/>
          <a:ext cx="1496554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0" y="83255"/>
              </a:lnTo>
              <a:lnTo>
                <a:pt x="1496554" y="83255"/>
              </a:lnTo>
              <a:lnTo>
                <a:pt x="1496554" y="120790"/>
              </a:lnTo>
            </a:path>
          </a:pathLst>
        </a:custGeom>
        <a:noFill/>
        <a:ln w="254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2B4BA3F-DF05-4EFC-B45B-92728963BDD4}">
      <dsp:nvSpPr>
        <dsp:cNvPr id="0" name=""/>
        <dsp:cNvSpPr/>
      </dsp:nvSpPr>
      <dsp:spPr>
        <a:xfrm>
          <a:off x="3872365" y="1295935"/>
          <a:ext cx="717917" cy="477519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800" kern="1200" dirty="0" smtClean="0">
              <a:solidFill>
                <a:srgbClr val="FFFFFF"/>
              </a:solidFill>
              <a:latin typeface="Arial Narrow" panose="020B0606020202030204" pitchFamily="34" charset="0"/>
              <a:ea typeface="+mn-ea"/>
              <a:cs typeface="+mn-cs"/>
            </a:rPr>
            <a:t>Spoločný tím analytických jednotiek pre sociálnu oblasť</a:t>
          </a:r>
          <a:endParaRPr lang="sk-SK" sz="800" kern="1200">
            <a:latin typeface="Arial Narrow" panose="020B0606020202030204" pitchFamily="34" charset="0"/>
          </a:endParaRPr>
        </a:p>
      </dsp:txBody>
      <dsp:txXfrm>
        <a:off x="3886351" y="1309921"/>
        <a:ext cx="689945" cy="449547"/>
      </dsp:txXfrm>
    </dsp:sp>
    <dsp:sp modelId="{6AABAD66-74EE-4DAE-9503-922B1422BCFD}">
      <dsp:nvSpPr>
        <dsp:cNvPr id="0" name=""/>
        <dsp:cNvSpPr/>
      </dsp:nvSpPr>
      <dsp:spPr>
        <a:xfrm>
          <a:off x="3440746" y="619888"/>
          <a:ext cx="726059" cy="14640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3202"/>
              </a:lnTo>
              <a:lnTo>
                <a:pt x="726059" y="73202"/>
              </a:lnTo>
              <a:lnTo>
                <a:pt x="726059" y="146404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5875807-26BC-4A60-852C-8B0A84657F0B}">
      <dsp:nvSpPr>
        <dsp:cNvPr id="0" name=""/>
        <dsp:cNvSpPr/>
      </dsp:nvSpPr>
      <dsp:spPr>
        <a:xfrm>
          <a:off x="3545317" y="766293"/>
          <a:ext cx="1242977" cy="444208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sk-SK" sz="900" kern="1200">
              <a:latin typeface="Arial Narrow" panose="020B0606020202030204" pitchFamily="34" charset="0"/>
            </a:rPr>
            <a:t>Úrad podpredsedu vlády</a:t>
          </a:r>
        </a:p>
        <a:p>
          <a:pPr lvl="0" algn="ctr" defTabSz="4000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sk-SK" sz="900" kern="1200">
              <a:latin typeface="Arial Narrow" panose="020B0606020202030204" pitchFamily="34" charset="0"/>
            </a:rPr>
            <a:t>(Implementačná jednotka)</a:t>
          </a:r>
        </a:p>
      </dsp:txBody>
      <dsp:txXfrm>
        <a:off x="3558327" y="779303"/>
        <a:ext cx="1216957" cy="41818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6">
  <dgm:title val=""/>
  <dgm:desc val=""/>
  <dgm:catLst>
    <dgm:cat type="hierarchy" pri="3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5">
          <dgm:prSet phldr="1"/>
        </dgm:pt>
        <dgm:pt modelId="6">
          <dgm:prSet phldr="1"/>
        </dgm:pt>
      </dgm:ptLst>
      <dgm:cxnLst>
        <dgm:cxn modelId="7" srcId="0" destId="1" srcOrd="0" destOrd="0"/>
        <dgm:cxn modelId="8" srcId="1" destId="2" srcOrd="0" destOrd="0"/>
        <dgm:cxn modelId="9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10" srcId="0" destId="4" srcOrd="1" destOrd="0"/>
        <dgm:cxn modelId="11" srcId="0" destId="5" srcOrd="2" destOrd="0"/>
        <dgm:cxn modelId="12" srcId="0" destId="6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2"/>
        <dgm:pt modelId="3"/>
      </dgm:ptLst>
      <dgm:cxnLst>
        <dgm:cxn modelId="4" srcId="0" destId="1" srcOrd="0" destOrd="0"/>
        <dgm:cxn modelId="13" srcId="1" destId="11" srcOrd="0" destOrd="0"/>
        <dgm:cxn modelId="14" srcId="1" destId="12" srcOrd="1" destOrd="0"/>
        <dgm:cxn modelId="5" srcId="0" destId="2" srcOrd="1" destOrd="0"/>
        <dgm:cxn modelId="6" srcId="0" destId="3" srcOrd="2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  <dgm:pt modelId="4"/>
        <dgm:pt modelId="5"/>
        <dgm:pt modelId="6"/>
        <dgm:pt modelId="7"/>
      </dgm:ptLst>
      <dgm:cxnLst>
        <dgm:cxn modelId="8" srcId="0" destId="1" srcOrd="0" destOrd="0"/>
        <dgm:cxn modelId="9" srcId="1" destId="2" srcOrd="0" destOrd="0"/>
        <dgm:cxn modelId="10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  <dgm:cxn modelId="11" srcId="0" destId="4" srcOrd="1" destOrd="0"/>
        <dgm:cxn modelId="12" srcId="0" destId="5" srcOrd="2" destOrd="0"/>
        <dgm:cxn modelId="13" srcId="0" destId="6" srcOrd="3" destOrd="0"/>
        <dgm:cxn modelId="14" srcId="0" destId="7" srcOrd="4" destOrd="0"/>
      </dgm:cxnLst>
      <dgm:bg/>
      <dgm:whole/>
    </dgm:dataModel>
  </dgm:clrData>
  <dgm:layoutNode name="mainComposite">
    <dgm:varLst>
      <dgm:chPref val="1"/>
      <dgm:dir/>
      <dgm:animOne val="branch"/>
      <dgm:animLvl val="lvl"/>
      <dgm:resizeHandles val="exact"/>
    </dgm:varLst>
    <dgm:alg type="composite">
      <dgm:param type="vertAlign" val="mid"/>
      <dgm:param type="horzAlign" val="ctr"/>
    </dgm:alg>
    <dgm:shape xmlns:r="http://schemas.openxmlformats.org/officeDocument/2006/relationships" r:blip="">
      <dgm:adjLst/>
    </dgm:shape>
    <dgm:presOf/>
    <dgm:choose name="Name0">
      <dgm:if name="Name1" axis="ch" ptType="node" func="cnt" op="gte" val="2">
        <dgm:choose name="Name2">
          <dgm:if name="Name3" func="var" arg="dir" op="equ" val="norm">
            <dgm:constrLst>
              <dgm:constr type="l" for="ch" forName="hierFlow" refType="w" fact="0.3"/>
              <dgm:constr type="t" for="ch" forName="hierFlow"/>
              <dgm:constr type="r" for="ch" forName="hierFlow" refType="w" fact="0.98"/>
              <dgm:constr type="b" for="ch" forName="hierFlow" refType="h" fact="0.98"/>
              <dgm:constr type="l" for="ch" forName="bgShapesFlow"/>
              <dgm:constr type="t" for="ch" forName="bgShapesFlow"/>
              <dgm:constr type="r" for="ch" forName="bgShapesFlow" refType="w"/>
              <dgm:constr type="b" for="ch" forName="bgShapesFlow" refType="h"/>
              <dgm:constr type="w" for="des" forName="level1Shape" refType="w"/>
              <dgm:constr type="h" for="des" forName="level1Shape" refType="w" refFor="des" refForName="level1Shape" fact="0.66667"/>
              <dgm:constr type="w" for="des" forName="level2Shape" refType="w" refFor="des" refForName="level1Shape" op="equ"/>
              <dgm:constr type="h" for="des" forName="level2Shape" refType="h" refFor="des" refForName="level1Shape" op="equ"/>
              <dgm:constr type="sp" for="des" refType="h" refFor="des" refForName="level1Shape" op="equ" fact="0.4"/>
              <dgm:constr type="sibSp" for="des" forName="hierChild1" refType="w" refFor="des" refForName="level1Shape" op="equ" fact="0.3"/>
              <dgm:constr type="sibSp" for="des" forName="hierChild2" refType="sibSp" refFor="des" refForName="hierChild1" op="equ"/>
              <dgm:constr type="sibSp" for="des" forName="hierChild3" refType="sibSp" refFor="des" refForName="hierChild1" op="equ"/>
              <dgm:constr type="userA" for="des" refType="h" refFor="des" refForName="level1Shape" op="equ"/>
              <dgm:constr type="userB" for="des" refType="sp" refFor="des" op="equ"/>
              <dgm:constr type="h" for="des" forName="firstBuf" refType="h" refFor="des" refForName="level1Shape" fact="0.1"/>
            </dgm:constrLst>
          </dgm:if>
          <dgm:else name="Name4">
            <dgm:constrLst>
              <dgm:constr type="l" for="ch" forName="hierFlow" refType="w" fact="0.02"/>
              <dgm:constr type="t" for="ch" forName="hierFlow"/>
              <dgm:constr type="r" for="ch" forName="hierFlow" refType="w" fact="0.7"/>
              <dgm:constr type="b" for="ch" forName="hierFlow" refType="h" fact="0.98"/>
              <dgm:constr type="l" for="ch" forName="bgShapesFlow"/>
              <dgm:constr type="t" for="ch" forName="bgShapesFlow"/>
              <dgm:constr type="r" for="ch" forName="bgShapesFlow" refType="w"/>
              <dgm:constr type="b" for="ch" forName="bgShapesFlow" refType="h"/>
              <dgm:constr type="w" for="des" forName="level1Shape" refType="w"/>
              <dgm:constr type="h" for="des" forName="level1Shape" refType="w" refFor="des" refForName="level1Shape" fact="0.66667"/>
              <dgm:constr type="w" for="des" forName="level2Shape" refType="w" refFor="des" refForName="level1Shape" op="equ"/>
              <dgm:constr type="h" for="des" forName="level2Shape" refType="h" refFor="des" refForName="level1Shape" op="equ"/>
              <dgm:constr type="sp" for="des" refType="h" refFor="des" refForName="level1Shape" op="equ" fact="0.4"/>
              <dgm:constr type="sibSp" for="des" forName="hierChild1" refType="w" refFor="des" refForName="level1Shape" op="equ" fact="0.3"/>
              <dgm:constr type="sibSp" for="des" forName="hierChild2" refType="sibSp" refFor="des" refForName="hierChild1" op="equ"/>
              <dgm:constr type="sibSp" for="des" forName="hierChild3" refType="sibSp" refFor="des" refForName="hierChild1" op="equ"/>
              <dgm:constr type="userA" for="des" refType="h" refFor="des" refForName="level1Shape" op="equ"/>
              <dgm:constr type="userB" for="des" refType="sp" refFor="des" op="equ"/>
              <dgm:constr type="h" for="des" forName="firstBuf" refType="h" refFor="des" refForName="level1Shape" fact="0.1"/>
            </dgm:constrLst>
          </dgm:else>
        </dgm:choose>
      </dgm:if>
      <dgm:else name="Name5">
        <dgm:constrLst>
          <dgm:constr type="l" for="ch" forName="hierFlow"/>
          <dgm:constr type="t" for="ch" forName="hierFlow"/>
          <dgm:constr type="r" for="ch" forName="hierFlow" refType="w"/>
          <dgm:constr type="b" for="ch" forName="hierFlow" refType="h"/>
          <dgm:constr type="l" for="ch" forName="bgShapesFlow"/>
          <dgm:constr type="t" for="ch" forName="bgShapesFlow"/>
          <dgm:constr type="r" for="ch" forName="bgShapesFlow" refType="w"/>
          <dgm:constr type="b" for="ch" forName="bgShapesFlow" refType="h"/>
          <dgm:constr type="w" for="des" forName="level1Shape" refType="w"/>
          <dgm:constr type="h" for="des" forName="level1Shape" refType="w" refFor="des" refForName="level1Shape" fact="0.66667"/>
          <dgm:constr type="w" for="des" forName="level2Shape" refType="w" refFor="des" refForName="level1Shape" op="equ"/>
          <dgm:constr type="h" for="des" forName="level2Shape" refType="h" refFor="des" refForName="level1Shape" op="equ"/>
          <dgm:constr type="sp" for="des" refType="h" refFor="des" refForName="level1Shape" op="equ" fact="0.4"/>
          <dgm:constr type="sibSp" for="des" forName="hierChild1" refType="w" refFor="des" refForName="level1Shape" op="equ" fact="0.3"/>
          <dgm:constr type="sibSp" for="des" forName="hierChild2" refType="sibSp" refFor="des" refForName="hierChild1" op="equ"/>
          <dgm:constr type="sibSp" for="des" forName="hierChild3" refType="sibSp" refFor="des" refForName="hierChild1" op="equ"/>
          <dgm:constr type="userA" for="des" refType="h" refFor="des" refForName="level1Shape" op="equ"/>
          <dgm:constr type="userB" for="des" refType="sp" refFor="des" op="equ"/>
          <dgm:constr type="h" for="des" forName="firstBuf" refType="h" refFor="des" refForName="level1Shape" fact="0.1"/>
        </dgm:constrLst>
      </dgm:else>
    </dgm:choose>
    <dgm:ruleLst/>
    <dgm:layoutNode name="hierFlow">
      <dgm:alg type="lin">
        <dgm:param type="linDir" val="fromT"/>
        <dgm:param type="nodeVertAlign" val="t"/>
        <dgm:param type="vertAlign" val="t"/>
        <dgm:param type="nodeHorzAlign" val="ctr"/>
        <dgm:param type="fallback" val="2D"/>
      </dgm:alg>
      <dgm:shape xmlns:r="http://schemas.openxmlformats.org/officeDocument/2006/relationships" r:blip="">
        <dgm:adjLst/>
      </dgm:shape>
      <dgm:presOf/>
      <dgm:constrLst/>
      <dgm:ruleLst/>
      <dgm:choose name="Name6">
        <dgm:if name="Name7" axis="ch" ptType="node" func="cnt" op="gte" val="2">
          <dgm:layoutNode name="firstBuf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if>
        <dgm:else name="Name8"/>
      </dgm:choose>
      <dgm:layoutNode name="hierChild1">
        <dgm:varLst>
          <dgm:chPref val="1"/>
          <dgm:animOne val="branch"/>
          <dgm:animLvl val="lvl"/>
        </dgm:varLst>
        <dgm:choose name="Name9">
          <dgm:if name="Name10" func="var" arg="dir" op="equ" val="norm">
            <dgm:alg type="hierChild">
              <dgm:param type="linDir" val="fromL"/>
              <dgm:param type="vertAlign" val="t"/>
            </dgm:alg>
          </dgm:if>
          <dgm:else name="Name11">
            <dgm:alg type="hierChild">
              <dgm:param type="linDir" val="fromR"/>
              <dgm:param type="vertAlign" val="t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primFontSz" for="des" ptType="node" op="equ"/>
        </dgm:constrLst>
        <dgm:ruleLst/>
        <dgm:forEach name="Name12" axis="ch" cnt="3">
          <dgm:forEach name="Name13" axis="self" ptType="node">
            <dgm:layoutNode name="Name14">
              <dgm:alg type="hierRoot"/>
              <dgm:shape xmlns:r="http://schemas.openxmlformats.org/officeDocument/2006/relationships" r:blip="">
                <dgm:adjLst/>
              </dgm:shape>
              <dgm:presOf/>
              <dgm:constrLst/>
              <dgm:ruleLst/>
              <dgm:layoutNode name="level1Shape" styleLbl="node0">
                <dgm:varLst>
                  <dgm:chPref val="3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self"/>
                <dgm:constrLst>
                  <dgm:constr type="primFontSz" val="65"/>
                  <dgm:constr type="tMarg" refType="primFontSz" fact="0.3"/>
                  <dgm:constr type="bMarg" refType="primFontSz" fact="0.3"/>
                  <dgm:constr type="lMarg" refType="primFontSz" fact="0.3"/>
                  <dgm:constr type="rMarg" refType="primFontSz" fact="0.3"/>
                </dgm:constrLst>
                <dgm:ruleLst>
                  <dgm:rule type="primFontSz" val="5" fact="NaN" max="NaN"/>
                </dgm:ruleLst>
              </dgm:layoutNode>
              <dgm:layoutNode name="hierChild2">
                <dgm:choose name="Name15">
                  <dgm:if name="Name16" func="var" arg="dir" op="equ" val="norm">
                    <dgm:alg type="hierChild">
                      <dgm:param type="linDir" val="fromL"/>
                    </dgm:alg>
                  </dgm:if>
                  <dgm:else name="Name17">
                    <dgm:alg type="hierChild">
                      <dgm:param type="linDir" val="fromR"/>
                    </dgm:alg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/>
                <dgm:ruleLst/>
                <dgm:forEach name="repeat" axis="ch">
                  <dgm:forEach name="Name18" axis="self" ptType="parTrans" cnt="1">
                    <dgm:layoutNode name="Name19">
                      <dgm:alg type="conn">
                        <dgm:param type="dim" val="1D"/>
                        <dgm:param type="endSty" val="noArr"/>
                        <dgm:param type="connRout" val="bend"/>
                        <dgm:param type="begPts" val="bCtr"/>
                        <dgm:param type="endPts" val="tCtr"/>
                      </dgm:alg>
                      <dgm:shape xmlns:r="http://schemas.openxmlformats.org/officeDocument/2006/relationships" type="conn" r:blip="">
                        <dgm:adjLst/>
                      </dgm:shape>
                      <dgm:presOf axis="self"/>
                      <dgm:constrLst>
                        <dgm:constr type="w" val="1"/>
                        <dgm:constr type="h" val="1"/>
                        <dgm:constr type="begPad"/>
                        <dgm:constr type="endPad"/>
                      </dgm:constrLst>
                      <dgm:ruleLst/>
                    </dgm:layoutNode>
                  </dgm:forEach>
                  <dgm:forEach name="Name20" axis="self" ptType="node">
                    <dgm:layoutNode name="Name21">
                      <dgm:alg type="hierRoot"/>
                      <dgm:shape xmlns:r="http://schemas.openxmlformats.org/officeDocument/2006/relationships" r:blip="">
                        <dgm:adjLst/>
                      </dgm:shape>
                      <dgm:presOf/>
                      <dgm:constrLst/>
                      <dgm:ruleLst/>
                      <dgm:layoutNode name="level2Shape">
                        <dgm:alg type="tx"/>
                        <dgm:shape xmlns:r="http://schemas.openxmlformats.org/officeDocument/2006/relationships" type="roundRect" r:blip="">
                          <dgm:adjLst>
                            <dgm:adj idx="1" val="0.1"/>
                          </dgm:adjLst>
                        </dgm:shape>
                        <dgm:presOf axis="self"/>
                        <dgm:constrLst>
                          <dgm:constr type="primFontSz" val="65"/>
                          <dgm:constr type="tMarg" refType="primFontSz" fact="0.3"/>
                          <dgm:constr type="bMarg" refType="primFontSz" fact="0.3"/>
                          <dgm:constr type="lMarg" refType="primFontSz" fact="0.3"/>
                          <dgm:constr type="r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  <dgm:layoutNode name="hierChild3">
                        <dgm:choose name="Name22">
                          <dgm:if name="Name23" func="var" arg="dir" op="equ" val="norm">
                            <dgm:alg type="hierChild">
                              <dgm:param type="linDir" val="fromL"/>
                            </dgm:alg>
                          </dgm:if>
                          <dgm:else name="Name24">
                            <dgm:alg type="hierChild">
                              <dgm:param type="linDir" val="fromR"/>
                            </dgm:alg>
                          </dgm:else>
                        </dgm:choose>
                        <dgm:shape xmlns:r="http://schemas.openxmlformats.org/officeDocument/2006/relationships" r:blip="">
                          <dgm:adjLst/>
                        </dgm:shape>
                        <dgm:presOf/>
                        <dgm:constrLst/>
                        <dgm:ruleLst/>
                        <dgm:forEach name="Name25" ref="repeat"/>
                      </dgm:layoutNode>
                    </dgm:layoutNode>
                  </dgm:forEach>
                </dgm:forEach>
              </dgm:layoutNode>
            </dgm:layoutNode>
          </dgm:forEach>
        </dgm:forEach>
      </dgm:layoutNode>
    </dgm:layoutNode>
    <dgm:layoutNode name="bgShapesFlow">
      <dgm:alg type="lin">
        <dgm:param type="linDir" val="fromT"/>
        <dgm:param type="nodeVertAlign" val="t"/>
        <dgm:param type="vertAlign" val="t"/>
        <dgm:param type="nodeHorzAlign" val="ctr"/>
      </dgm:alg>
      <dgm:shape xmlns:r="http://schemas.openxmlformats.org/officeDocument/2006/relationships" r:blip="">
        <dgm:adjLst/>
      </dgm:shape>
      <dgm:presOf/>
      <dgm:constrLst>
        <dgm:constr type="userB"/>
        <dgm:constr type="w" for="ch" forName="rectComp" refType="w"/>
        <dgm:constr type="h" for="ch" forName="rectComp" refType="h"/>
        <dgm:constr type="w" for="des" forName="bgRect" refType="w"/>
        <dgm:constr type="primFontSz" for="des" forName="bgRectTx" op="equ"/>
      </dgm:constrLst>
      <dgm:ruleLst/>
      <dgm:forEach name="Name26" axis="ch" ptType="node" st="2">
        <dgm:layoutNode name="rectComp">
          <dgm:alg type="composite">
            <dgm:param type="vertAlign" val="t"/>
            <dgm:param type="horzAlign" val="ctr"/>
          </dgm:alg>
          <dgm:shape xmlns:r="http://schemas.openxmlformats.org/officeDocument/2006/relationships" r:blip="">
            <dgm:adjLst/>
          </dgm:shape>
          <dgm:presOf/>
          <dgm:choose name="Name27">
            <dgm:if name="Name28" func="var" arg="dir" op="equ" val="norm">
              <dgm:constrLst>
                <dgm:constr type="userA"/>
                <dgm:constr type="l" for="ch" forName="bgRect"/>
                <dgm:constr type="t" for="ch" forName="bgRect"/>
                <dgm:constr type="h" for="ch" forName="bgRect" refType="userA" fact="1.2"/>
                <dgm:constr type="l" for="ch" forName="bgRectTx"/>
                <dgm:constr type="t" for="ch" forName="bgRectTx"/>
                <dgm:constr type="w" for="ch" forName="bgRectTx" refType="w" refFor="ch" refForName="bgRect" fact="0.3"/>
                <dgm:constr type="h" for="ch" forName="bgRectTx" refType="h" refFor="ch" refForName="bgRect" op="equ"/>
              </dgm:constrLst>
            </dgm:if>
            <dgm:else name="Name29">
              <dgm:constrLst>
                <dgm:constr type="userA"/>
                <dgm:constr type="l" for="ch" forName="bgRect"/>
                <dgm:constr type="t" for="ch" forName="bgRect"/>
                <dgm:constr type="h" for="ch" forName="bgRect" refType="userA" fact="1.2"/>
                <dgm:constr type="r" for="ch" forName="bgRectTx" refType="w"/>
                <dgm:constr type="t" for="ch" forName="bgRectTx"/>
                <dgm:constr type="w" for="ch" forName="bgRectTx" refType="w" refFor="ch" refForName="bgRect" fact="0.3"/>
                <dgm:constr type="h" for="ch" forName="bgRectTx" refType="h" refFor="ch" refForName="bgRect" op="equ"/>
              </dgm:constrLst>
            </dgm:else>
          </dgm:choose>
          <dgm:ruleLst/>
          <dgm:layoutNode name="bgRect" styleLbl="bgShp">
            <dgm:alg type="sp"/>
            <dgm:shape xmlns:r="http://schemas.openxmlformats.org/officeDocument/2006/relationships" type="roundRect" r:blip="" zOrderOff="-999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bgRectTx" styleLbl="bgShp">
            <dgm:varLst>
              <dgm:bulletEnabled val="1"/>
            </dgm:varLst>
            <dgm:alg type="tx"/>
            <dgm:presOf axis="desOrSelf" ptType="node"/>
            <dgm:shape xmlns:r="http://schemas.openxmlformats.org/officeDocument/2006/relationships" type="rect" r:blip="" zOrderOff="-999" hideGeom="1">
              <dgm:adjLst/>
            </dgm:shape>
            <dgm:constrLst>
              <dgm:constr type="primFontSz" val="65"/>
            </dgm:constrLst>
            <dgm:ruleLst>
              <dgm:rule type="primFontSz" val="5" fact="NaN" max="NaN"/>
            </dgm:ruleLst>
          </dgm:layoutNode>
        </dgm:layoutNode>
        <dgm:choose name="Name30">
          <dgm:if name="Name31" axis="self" ptType="node" func="revPos" op="gte" val="2">
            <dgm:layoutNode name="spComp">
              <dgm:alg type="composite">
                <dgm:param type="vertAlign" val="t"/>
                <dgm:param type="horzAlign" val="ctr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userA"/>
                <dgm:constr type="userB"/>
                <dgm:constr type="l" for="ch" forName="vSp"/>
                <dgm:constr type="t" for="ch" forName="vSp"/>
                <dgm:constr type="h" for="ch" forName="vSp" refType="userB"/>
                <dgm:constr type="hOff" for="ch" forName="vSp" refType="userA" fact="-0.2"/>
              </dgm:constrLst>
              <dgm:ruleLst/>
              <dgm:layoutNode name="vSp">
                <dgm:alg type="sp"/>
                <dgm:shape xmlns:r="http://schemas.openxmlformats.org/officeDocument/2006/relationships" r:blip="">
                  <dgm:adjLst/>
                </dgm:shape>
                <dgm:presOf/>
                <dgm:constrLst/>
                <dgm:ruleLst/>
              </dgm:layoutNode>
            </dgm:layoutNode>
          </dgm:if>
          <dgm:else name="Name32"/>
        </dgm:choos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'Obsah'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hyperlink" Target="#'Obsah'!A1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hyperlink" Target="#'Obsah'!A1"/><Relationship Id="rId1" Type="http://schemas.openxmlformats.org/officeDocument/2006/relationships/chart" Target="../charts/chart2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hyperlink" Target="#'Obsah'!A1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hyperlink" Target="#'Obsah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hyperlink" Target="#'Obsah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hyperlink" Target="#'Obsah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hyperlink" Target="#'Obsah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hyperlink" Target="#'Obsah'!A1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hyperlink" Target="#'Obsah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5" Type="http://schemas.openxmlformats.org/officeDocument/2006/relationships/hyperlink" Target="#'Obsah'!A1"/><Relationship Id="rId4" Type="http://schemas.openxmlformats.org/officeDocument/2006/relationships/chart" Target="../charts/chart53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hyperlink" Target="#'Obsah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hyperlink" Target="#'Obsah'!A1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hyperlink" Target="#'Obsah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hyperlink" Target="#'Obsah'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hyperlink" Target="#'Obsah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hyperlink" Target="#'Obsah'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hyperlink" Target="#'Obsah'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'Obsah'!A1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hyperlink" Target="#'Obsah'!A1"/><Relationship Id="rId1" Type="http://schemas.openxmlformats.org/officeDocument/2006/relationships/chart" Target="../charts/chart7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'Obsah'!A1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hyperlink" Target="#'Obsah'!A1"/><Relationship Id="rId1" Type="http://schemas.openxmlformats.org/officeDocument/2006/relationships/chart" Target="../charts/chart74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hyperlink" Target="#'Obsah'!A1"/><Relationship Id="rId1" Type="http://schemas.openxmlformats.org/officeDocument/2006/relationships/chart" Target="../charts/chart75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hyperlink" Target="#'Obsah'!A1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hyperlink" Target="#'Obsah'!A1"/><Relationship Id="rId1" Type="http://schemas.openxmlformats.org/officeDocument/2006/relationships/chart" Target="../charts/chart76.xml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5" Type="http://schemas.openxmlformats.org/officeDocument/2006/relationships/hyperlink" Target="#'Obsah'!A1"/><Relationship Id="rId4" Type="http://schemas.openxmlformats.org/officeDocument/2006/relationships/chart" Target="../charts/chart81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hyperlink" Target="#'Obsah'!A1"/><Relationship Id="rId4" Type="http://schemas.openxmlformats.org/officeDocument/2006/relationships/chart" Target="../charts/chart85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hyperlink" Target="#'Obsah'!A1"/><Relationship Id="rId4" Type="http://schemas.openxmlformats.org/officeDocument/2006/relationships/chart" Target="../charts/chart8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hyperlink" Target="#'Obsah'!A1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chart" Target="../charts/chart90.xml"/><Relationship Id="rId5" Type="http://schemas.openxmlformats.org/officeDocument/2006/relationships/hyperlink" Target="#'Obsah'!A1"/><Relationship Id="rId4" Type="http://schemas.openxmlformats.org/officeDocument/2006/relationships/chart" Target="../charts/chart93.xml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hyperlink" Target="#'Obsah'!A1"/><Relationship Id="rId4" Type="http://schemas.openxmlformats.org/officeDocument/2006/relationships/chart" Target="../charts/chart97.xml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chart" Target="../charts/chart98.xml"/><Relationship Id="rId5" Type="http://schemas.openxmlformats.org/officeDocument/2006/relationships/hyperlink" Target="#'Obsah'!A1"/><Relationship Id="rId4" Type="http://schemas.openxmlformats.org/officeDocument/2006/relationships/chart" Target="../charts/chart101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4.xml"/><Relationship Id="rId2" Type="http://schemas.openxmlformats.org/officeDocument/2006/relationships/chart" Target="../charts/chart103.xml"/><Relationship Id="rId1" Type="http://schemas.openxmlformats.org/officeDocument/2006/relationships/chart" Target="../charts/chart102.xml"/><Relationship Id="rId5" Type="http://schemas.openxmlformats.org/officeDocument/2006/relationships/hyperlink" Target="#'Obsah'!A1"/><Relationship Id="rId4" Type="http://schemas.openxmlformats.org/officeDocument/2006/relationships/chart" Target="../charts/chart105.xml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4" Type="http://schemas.openxmlformats.org/officeDocument/2006/relationships/hyperlink" Target="#'Obsah'!A1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hyperlink" Target="#'Obsah'!A1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781051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7302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182375</xdr:colOff>
      <xdr:row>4</xdr:row>
      <xdr:rowOff>47625</xdr:rowOff>
    </xdr:from>
    <xdr:to>
      <xdr:col>5</xdr:col>
      <xdr:colOff>54349</xdr:colOff>
      <xdr:row>17</xdr:row>
      <xdr:rowOff>91125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</xdr:colOff>
      <xdr:row>4</xdr:row>
      <xdr:rowOff>47623</xdr:rowOff>
    </xdr:from>
    <xdr:to>
      <xdr:col>15</xdr:col>
      <xdr:colOff>409574</xdr:colOff>
      <xdr:row>17</xdr:row>
      <xdr:rowOff>177523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27</xdr:row>
      <xdr:rowOff>19050</xdr:rowOff>
    </xdr:from>
    <xdr:to>
      <xdr:col>5</xdr:col>
      <xdr:colOff>33338</xdr:colOff>
      <xdr:row>41</xdr:row>
      <xdr:rowOff>62550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27</xdr:row>
      <xdr:rowOff>66674</xdr:rowOff>
    </xdr:from>
    <xdr:to>
      <xdr:col>15</xdr:col>
      <xdr:colOff>400050</xdr:colOff>
      <xdr:row>40</xdr:row>
      <xdr:rowOff>129899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0.15735</cdr:x>
      <cdr:y>0.28046</cdr:y>
    </cdr:from>
    <cdr:to>
      <cdr:x>0.38035</cdr:x>
      <cdr:y>0.50533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469348" y="611757"/>
          <a:ext cx="665162" cy="490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50" b="1" baseline="0">
              <a:solidFill>
                <a:srgbClr val="00B0F0"/>
              </a:solidFill>
              <a:latin typeface="Arial Narrow" panose="020B0606020202030204" pitchFamily="34" charset="0"/>
            </a:rPr>
            <a:t>Mar 2008</a:t>
          </a:r>
        </a:p>
      </cdr:txBody>
    </cdr:sp>
  </cdr:relSizeAnchor>
  <cdr:relSizeAnchor xmlns:cdr="http://schemas.openxmlformats.org/drawingml/2006/chartDrawing">
    <cdr:from>
      <cdr:x>0.82121</cdr:x>
      <cdr:y>0.5914</cdr:y>
    </cdr:from>
    <cdr:to>
      <cdr:x>0.98087</cdr:x>
      <cdr:y>0.70968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4702969" y="1964532"/>
          <a:ext cx="914400" cy="392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0.78153</cdr:x>
      <cdr:y>0.62089</cdr:y>
    </cdr:from>
    <cdr:to>
      <cdr:x>0.91744</cdr:x>
      <cdr:y>0.73559</cdr:y>
    </cdr:to>
    <cdr:sp macro="" textlink="">
      <cdr:nvSpPr>
        <cdr:cNvPr id="5" name="BlokTextu 4"/>
        <cdr:cNvSpPr txBox="1"/>
      </cdr:nvSpPr>
      <cdr:spPr>
        <a:xfrm xmlns:a="http://schemas.openxmlformats.org/drawingml/2006/main">
          <a:off x="2097233" y="1316454"/>
          <a:ext cx="364716" cy="24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Dec 2013</a:t>
          </a:r>
        </a:p>
      </cdr:txBody>
    </cdr:sp>
  </cdr:relSizeAnchor>
  <cdr:relSizeAnchor xmlns:cdr="http://schemas.openxmlformats.org/drawingml/2006/chartDrawing">
    <cdr:from>
      <cdr:x>0.81053</cdr:x>
      <cdr:y>0.76968</cdr:y>
    </cdr:from>
    <cdr:to>
      <cdr:x>1</cdr:x>
      <cdr:y>0.84222</cdr:y>
    </cdr:to>
    <cdr:sp macro="" textlink="">
      <cdr:nvSpPr>
        <cdr:cNvPr id="8" name="BlokTextu 1"/>
        <cdr:cNvSpPr txBox="1"/>
      </cdr:nvSpPr>
      <cdr:spPr>
        <a:xfrm xmlns:a="http://schemas.openxmlformats.org/drawingml/2006/main">
          <a:off x="2417642" y="1678847"/>
          <a:ext cx="565149" cy="158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Dec 2012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0.45517</cdr:x>
      <cdr:y>0.28306</cdr:y>
    </cdr:from>
    <cdr:to>
      <cdr:x>0.61267</cdr:x>
      <cdr:y>0.35379</cdr:y>
    </cdr:to>
    <cdr:sp macro="" textlink="">
      <cdr:nvSpPr>
        <cdr:cNvPr id="12" name="BlokTextu 1"/>
        <cdr:cNvSpPr txBox="1"/>
      </cdr:nvSpPr>
      <cdr:spPr>
        <a:xfrm xmlns:a="http://schemas.openxmlformats.org/drawingml/2006/main">
          <a:off x="1357671" y="617413"/>
          <a:ext cx="469789" cy="154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Dec 2015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0.66891</cdr:x>
      <cdr:y>0.55626</cdr:y>
    </cdr:from>
    <cdr:to>
      <cdr:x>0.80481</cdr:x>
      <cdr:y>0.67096</cdr:y>
    </cdr:to>
    <cdr:sp macro="" textlink="">
      <cdr:nvSpPr>
        <cdr:cNvPr id="10" name="BlokTextu 1"/>
        <cdr:cNvSpPr txBox="1"/>
      </cdr:nvSpPr>
      <cdr:spPr>
        <a:xfrm xmlns:a="http://schemas.openxmlformats.org/drawingml/2006/main">
          <a:off x="1795014" y="1179415"/>
          <a:ext cx="364715" cy="24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Dec 2014</a:t>
          </a:r>
        </a:p>
      </cdr:txBody>
    </cdr:sp>
  </cdr:relSizeAnchor>
  <cdr:relSizeAnchor xmlns:cdr="http://schemas.openxmlformats.org/drawingml/2006/chartDrawing">
    <cdr:from>
      <cdr:x>0.36981</cdr:x>
      <cdr:y>0.16796</cdr:y>
    </cdr:from>
    <cdr:to>
      <cdr:x>0.52731</cdr:x>
      <cdr:y>0.23869</cdr:y>
    </cdr:to>
    <cdr:sp macro="" textlink="">
      <cdr:nvSpPr>
        <cdr:cNvPr id="14" name="BlokTextu 1"/>
        <cdr:cNvSpPr txBox="1"/>
      </cdr:nvSpPr>
      <cdr:spPr>
        <a:xfrm xmlns:a="http://schemas.openxmlformats.org/drawingml/2006/main">
          <a:off x="1103069" y="366365"/>
          <a:ext cx="469790" cy="154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Jan  2016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3</xdr:col>
      <xdr:colOff>9525</xdr:colOff>
      <xdr:row>3</xdr:row>
      <xdr:rowOff>85724</xdr:rowOff>
    </xdr:from>
    <xdr:to>
      <xdr:col>4</xdr:col>
      <xdr:colOff>28575</xdr:colOff>
      <xdr:row>16</xdr:row>
      <xdr:rowOff>38100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573180</xdr:colOff>
      <xdr:row>3</xdr:row>
      <xdr:rowOff>48746</xdr:rowOff>
    </xdr:from>
    <xdr:to>
      <xdr:col>2</xdr:col>
      <xdr:colOff>49305</xdr:colOff>
      <xdr:row>15</xdr:row>
      <xdr:rowOff>180415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56029</xdr:colOff>
      <xdr:row>19</xdr:row>
      <xdr:rowOff>56028</xdr:rowOff>
    </xdr:from>
    <xdr:to>
      <xdr:col>4</xdr:col>
      <xdr:colOff>75079</xdr:colOff>
      <xdr:row>32</xdr:row>
      <xdr:rowOff>19611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68</xdr:row>
      <xdr:rowOff>0</xdr:rowOff>
    </xdr:from>
    <xdr:to>
      <xdr:col>12</xdr:col>
      <xdr:colOff>596932</xdr:colOff>
      <xdr:row>82</xdr:row>
      <xdr:rowOff>76200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33618</xdr:colOff>
      <xdr:row>19</xdr:row>
      <xdr:rowOff>56028</xdr:rowOff>
    </xdr:from>
    <xdr:to>
      <xdr:col>2</xdr:col>
      <xdr:colOff>114861</xdr:colOff>
      <xdr:row>32</xdr:row>
      <xdr:rowOff>8404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209550</xdr:colOff>
      <xdr:row>1</xdr:row>
      <xdr:rowOff>149225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7150" y="85725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142875</xdr:rowOff>
    </xdr:from>
    <xdr:to>
      <xdr:col>1</xdr:col>
      <xdr:colOff>238125</xdr:colOff>
      <xdr:row>2</xdr:row>
      <xdr:rowOff>15875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5725" y="142875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2</xdr:col>
      <xdr:colOff>485774</xdr:colOff>
      <xdr:row>14</xdr:row>
      <xdr:rowOff>11206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28575</xdr:rowOff>
    </xdr:from>
    <xdr:to>
      <xdr:col>1</xdr:col>
      <xdr:colOff>152400</xdr:colOff>
      <xdr:row>1</xdr:row>
      <xdr:rowOff>92075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28575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581024</xdr:colOff>
      <xdr:row>17</xdr:row>
      <xdr:rowOff>57149</xdr:rowOff>
    </xdr:from>
    <xdr:to>
      <xdr:col>2</xdr:col>
      <xdr:colOff>485774</xdr:colOff>
      <xdr:row>28</xdr:row>
      <xdr:rowOff>76199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57150</xdr:rowOff>
    </xdr:from>
    <xdr:to>
      <xdr:col>3</xdr:col>
      <xdr:colOff>95250</xdr:colOff>
      <xdr:row>13</xdr:row>
      <xdr:rowOff>85725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542925</xdr:colOff>
      <xdr:row>2</xdr:row>
      <xdr:rowOff>76201</xdr:rowOff>
    </xdr:from>
    <xdr:to>
      <xdr:col>6</xdr:col>
      <xdr:colOff>457200</xdr:colOff>
      <xdr:row>13</xdr:row>
      <xdr:rowOff>152401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523875</xdr:colOff>
      <xdr:row>21</xdr:row>
      <xdr:rowOff>57150</xdr:rowOff>
    </xdr:from>
    <xdr:to>
      <xdr:col>3</xdr:col>
      <xdr:colOff>95250</xdr:colOff>
      <xdr:row>32</xdr:row>
      <xdr:rowOff>85725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542925</xdr:colOff>
      <xdr:row>21</xdr:row>
      <xdr:rowOff>76201</xdr:rowOff>
    </xdr:from>
    <xdr:to>
      <xdr:col>6</xdr:col>
      <xdr:colOff>457200</xdr:colOff>
      <xdr:row>32</xdr:row>
      <xdr:rowOff>152401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485775</xdr:colOff>
      <xdr:row>4</xdr:row>
      <xdr:rowOff>38099</xdr:rowOff>
    </xdr:from>
    <xdr:to>
      <xdr:col>3</xdr:col>
      <xdr:colOff>66675</xdr:colOff>
      <xdr:row>16</xdr:row>
      <xdr:rowOff>47625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</xdr:colOff>
      <xdr:row>4</xdr:row>
      <xdr:rowOff>38100</xdr:rowOff>
    </xdr:from>
    <xdr:to>
      <xdr:col>6</xdr:col>
      <xdr:colOff>9526</xdr:colOff>
      <xdr:row>16</xdr:row>
      <xdr:rowOff>76200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20</xdr:row>
      <xdr:rowOff>66675</xdr:rowOff>
    </xdr:from>
    <xdr:to>
      <xdr:col>3</xdr:col>
      <xdr:colOff>171450</xdr:colOff>
      <xdr:row>32</xdr:row>
      <xdr:rowOff>95251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6</xdr:col>
      <xdr:colOff>9525</xdr:colOff>
      <xdr:row>32</xdr:row>
      <xdr:rowOff>49306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523875</xdr:colOff>
      <xdr:row>4</xdr:row>
      <xdr:rowOff>47624</xdr:rowOff>
    </xdr:from>
    <xdr:to>
      <xdr:col>1</xdr:col>
      <xdr:colOff>3162300</xdr:colOff>
      <xdr:row>13</xdr:row>
      <xdr:rowOff>123824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17</xdr:row>
      <xdr:rowOff>47624</xdr:rowOff>
    </xdr:from>
    <xdr:to>
      <xdr:col>1</xdr:col>
      <xdr:colOff>3162300</xdr:colOff>
      <xdr:row>26</xdr:row>
      <xdr:rowOff>123824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28574</xdr:colOff>
      <xdr:row>4</xdr:row>
      <xdr:rowOff>85724</xdr:rowOff>
    </xdr:from>
    <xdr:to>
      <xdr:col>1</xdr:col>
      <xdr:colOff>3867149</xdr:colOff>
      <xdr:row>14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19</xdr:row>
      <xdr:rowOff>85724</xdr:rowOff>
    </xdr:from>
    <xdr:to>
      <xdr:col>1</xdr:col>
      <xdr:colOff>3867149</xdr:colOff>
      <xdr:row>29</xdr:row>
      <xdr:rowOff>66674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0.71875</cdr:x>
      <cdr:y>0.52019</cdr:y>
    </cdr:from>
    <cdr:to>
      <cdr:x>0.82294</cdr:x>
      <cdr:y>0.62981</cdr:y>
    </cdr:to>
    <cdr:sp macro="" textlink="">
      <cdr:nvSpPr>
        <cdr:cNvPr id="2" name="Textové pole 11"/>
        <cdr:cNvSpPr txBox="1"/>
      </cdr:nvSpPr>
      <cdr:spPr>
        <a:xfrm xmlns:a="http://schemas.openxmlformats.org/drawingml/2006/main">
          <a:off x="3024978" y="1310880"/>
          <a:ext cx="438499" cy="27624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>
          <a:noFill/>
        </a:ln>
        <a:effectLst xmlns:a="http://schemas.openxmlformats.org/drawingml/2006/main"/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sk-SK" sz="8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Book Antiqua" panose="02040602050305030304" pitchFamily="18" charset="0"/>
            </a:rPr>
            <a:t>MTO</a:t>
          </a:r>
          <a:endParaRPr lang="sk-SK" sz="1100">
            <a:effectLst/>
            <a:latin typeface="Arial Narrow" panose="020B0606020202030204" pitchFamily="34" charset="0"/>
            <a:ea typeface="Times New Roman" panose="02020603050405020304" pitchFamily="18" charset="0"/>
            <a:cs typeface="Book Antiqua" panose="02040602050305030304" pitchFamily="18" charset="0"/>
          </a:endParaRP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47624</xdr:colOff>
      <xdr:row>3</xdr:row>
      <xdr:rowOff>66675</xdr:rowOff>
    </xdr:from>
    <xdr:to>
      <xdr:col>1</xdr:col>
      <xdr:colOff>3067049</xdr:colOff>
      <xdr:row>12</xdr:row>
      <xdr:rowOff>142875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17</xdr:row>
      <xdr:rowOff>66675</xdr:rowOff>
    </xdr:from>
    <xdr:to>
      <xdr:col>1</xdr:col>
      <xdr:colOff>3067049</xdr:colOff>
      <xdr:row>26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3314700</xdr:colOff>
      <xdr:row>14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</xdr:col>
      <xdr:colOff>3314700</xdr:colOff>
      <xdr:row>29</xdr:row>
      <xdr:rowOff>123825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2724150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781051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7302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182375</xdr:colOff>
      <xdr:row>4</xdr:row>
      <xdr:rowOff>47625</xdr:rowOff>
    </xdr:from>
    <xdr:to>
      <xdr:col>5</xdr:col>
      <xdr:colOff>54349</xdr:colOff>
      <xdr:row>17</xdr:row>
      <xdr:rowOff>91125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</xdr:colOff>
      <xdr:row>4</xdr:row>
      <xdr:rowOff>47623</xdr:rowOff>
    </xdr:from>
    <xdr:to>
      <xdr:col>15</xdr:col>
      <xdr:colOff>409574</xdr:colOff>
      <xdr:row>17</xdr:row>
      <xdr:rowOff>177523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27</xdr:row>
      <xdr:rowOff>19050</xdr:rowOff>
    </xdr:from>
    <xdr:to>
      <xdr:col>5</xdr:col>
      <xdr:colOff>33338</xdr:colOff>
      <xdr:row>41</xdr:row>
      <xdr:rowOff>62550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27</xdr:row>
      <xdr:rowOff>66674</xdr:rowOff>
    </xdr:from>
    <xdr:to>
      <xdr:col>15</xdr:col>
      <xdr:colOff>400050</xdr:colOff>
      <xdr:row>40</xdr:row>
      <xdr:rowOff>129899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0.71875</cdr:x>
      <cdr:y>0.52019</cdr:y>
    </cdr:from>
    <cdr:to>
      <cdr:x>0.82294</cdr:x>
      <cdr:y>0.62981</cdr:y>
    </cdr:to>
    <cdr:sp macro="" textlink="">
      <cdr:nvSpPr>
        <cdr:cNvPr id="2" name="Textové pole 11"/>
        <cdr:cNvSpPr txBox="1"/>
      </cdr:nvSpPr>
      <cdr:spPr>
        <a:xfrm xmlns:a="http://schemas.openxmlformats.org/drawingml/2006/main">
          <a:off x="3024978" y="1310880"/>
          <a:ext cx="438499" cy="27624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>
          <a:noFill/>
        </a:ln>
        <a:effectLst xmlns:a="http://schemas.openxmlformats.org/drawingml/2006/main"/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sk-SK" sz="8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Book Antiqua" panose="02040602050305030304" pitchFamily="18" charset="0"/>
            </a:rPr>
            <a:t>MTO</a:t>
          </a:r>
          <a:endParaRPr lang="sk-SK" sz="1100">
            <a:effectLst/>
            <a:latin typeface="Arial Narrow" panose="020B0606020202030204" pitchFamily="34" charset="0"/>
            <a:ea typeface="Times New Roman" panose="02020603050405020304" pitchFamily="18" charset="0"/>
            <a:cs typeface="Book Antiqua" panose="02040602050305030304" pitchFamily="18" charset="0"/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0.70542</cdr:x>
      <cdr:y>0.55552</cdr:y>
    </cdr:from>
    <cdr:to>
      <cdr:x>0.80961</cdr:x>
      <cdr:y>0.66514</cdr:y>
    </cdr:to>
    <cdr:sp macro="" textlink="">
      <cdr:nvSpPr>
        <cdr:cNvPr id="2" name="Textové pole 11"/>
        <cdr:cNvSpPr txBox="1"/>
      </cdr:nvSpPr>
      <cdr:spPr>
        <a:xfrm xmlns:a="http://schemas.openxmlformats.org/drawingml/2006/main">
          <a:off x="2968461" y="1505747"/>
          <a:ext cx="438440" cy="29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</a:ln>
        <a:effectLst xmlns:a="http://schemas.openxmlformats.org/drawingml/2006/main"/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sk-SK" sz="8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Book Antiqua" panose="02040602050305030304" pitchFamily="18" charset="0"/>
            </a:rPr>
            <a:t>MTO</a:t>
          </a:r>
          <a:endParaRPr lang="sk-SK" sz="1100">
            <a:effectLst/>
            <a:latin typeface="Arial Narrow" panose="020B0606020202030204" pitchFamily="34" charset="0"/>
            <a:ea typeface="Times New Roman" panose="02020603050405020304" pitchFamily="18" charset="0"/>
            <a:cs typeface="Book Antiqua" panose="02040602050305030304" pitchFamily="18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</xdr:row>
      <xdr:rowOff>0</xdr:rowOff>
    </xdr:from>
    <xdr:to>
      <xdr:col>2</xdr:col>
      <xdr:colOff>203200</xdr:colOff>
      <xdr:row>2</xdr:row>
      <xdr:rowOff>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9</xdr:col>
      <xdr:colOff>177053</xdr:colOff>
      <xdr:row>0</xdr:row>
      <xdr:rowOff>128868</xdr:rowOff>
    </xdr:from>
    <xdr:to>
      <xdr:col>9</xdr:col>
      <xdr:colOff>930089</xdr:colOff>
      <xdr:row>1</xdr:row>
      <xdr:rowOff>192368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7113494" y="128868"/>
          <a:ext cx="753036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22412</xdr:colOff>
      <xdr:row>2</xdr:row>
      <xdr:rowOff>145677</xdr:rowOff>
    </xdr:from>
    <xdr:to>
      <xdr:col>8</xdr:col>
      <xdr:colOff>537882</xdr:colOff>
      <xdr:row>21</xdr:row>
      <xdr:rowOff>54756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1411941</xdr:colOff>
      <xdr:row>2</xdr:row>
      <xdr:rowOff>168088</xdr:rowOff>
    </xdr:from>
    <xdr:to>
      <xdr:col>16</xdr:col>
      <xdr:colOff>448235</xdr:colOff>
      <xdr:row>21</xdr:row>
      <xdr:rowOff>77167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63500</xdr:rowOff>
    </xdr:to>
    <xdr:sp macro="" textlink="">
      <xdr:nvSpPr>
        <xdr:cNvPr id="7" name="Zaoblený obdĺžnik 6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4763</xdr:rowOff>
    </xdr:from>
    <xdr:to>
      <xdr:col>2</xdr:col>
      <xdr:colOff>1514475</xdr:colOff>
      <xdr:row>17</xdr:row>
      <xdr:rowOff>114300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19050</xdr:rowOff>
    </xdr:from>
    <xdr:to>
      <xdr:col>2</xdr:col>
      <xdr:colOff>1514475</xdr:colOff>
      <xdr:row>42</xdr:row>
      <xdr:rowOff>128587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</xdr:row>
      <xdr:rowOff>28575</xdr:rowOff>
    </xdr:from>
    <xdr:to>
      <xdr:col>11</xdr:col>
      <xdr:colOff>180975</xdr:colOff>
      <xdr:row>19</xdr:row>
      <xdr:rowOff>19050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</xdr:colOff>
      <xdr:row>32</xdr:row>
      <xdr:rowOff>9525</xdr:rowOff>
    </xdr:from>
    <xdr:to>
      <xdr:col>10</xdr:col>
      <xdr:colOff>600075</xdr:colOff>
      <xdr:row>48</xdr:row>
      <xdr:rowOff>95250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92075</xdr:rowOff>
    </xdr:to>
    <xdr:sp macro="" textlink="">
      <xdr:nvSpPr>
        <xdr:cNvPr id="9" name="Zaoblený obdĺžnik 8">
          <a:hlinkClick xmlns:r="http://schemas.openxmlformats.org/officeDocument/2006/relationships" r:id="rId5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493058</xdr:colOff>
      <xdr:row>3</xdr:row>
      <xdr:rowOff>11205</xdr:rowOff>
    </xdr:from>
    <xdr:to>
      <xdr:col>5</xdr:col>
      <xdr:colOff>542363</xdr:colOff>
      <xdr:row>22</xdr:row>
      <xdr:rowOff>88373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593912</xdr:colOff>
      <xdr:row>3</xdr:row>
      <xdr:rowOff>78440</xdr:rowOff>
    </xdr:from>
    <xdr:to>
      <xdr:col>15</xdr:col>
      <xdr:colOff>273424</xdr:colOff>
      <xdr:row>22</xdr:row>
      <xdr:rowOff>155608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0.70542</cdr:x>
      <cdr:y>0.55552</cdr:y>
    </cdr:from>
    <cdr:to>
      <cdr:x>0.80961</cdr:x>
      <cdr:y>0.66514</cdr:y>
    </cdr:to>
    <cdr:sp macro="" textlink="">
      <cdr:nvSpPr>
        <cdr:cNvPr id="2" name="Textové pole 11"/>
        <cdr:cNvSpPr txBox="1"/>
      </cdr:nvSpPr>
      <cdr:spPr>
        <a:xfrm xmlns:a="http://schemas.openxmlformats.org/drawingml/2006/main">
          <a:off x="2968461" y="1505747"/>
          <a:ext cx="438440" cy="29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</a:ln>
        <a:effectLst xmlns:a="http://schemas.openxmlformats.org/drawingml/2006/main"/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sk-SK" sz="8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Book Antiqua" panose="02040602050305030304" pitchFamily="18" charset="0"/>
            </a:rPr>
            <a:t>MTO</a:t>
          </a:r>
          <a:endParaRPr lang="sk-SK" sz="1100">
            <a:effectLst/>
            <a:latin typeface="Arial Narrow" panose="020B0606020202030204" pitchFamily="34" charset="0"/>
            <a:ea typeface="Times New Roman" panose="02020603050405020304" pitchFamily="18" charset="0"/>
            <a:cs typeface="Book Antiqua" panose="02040602050305030304" pitchFamily="18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63500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60325</xdr:rowOff>
    </xdr:from>
    <xdr:to>
      <xdr:col>0</xdr:col>
      <xdr:colOff>619125</xdr:colOff>
      <xdr:row>1</xdr:row>
      <xdr:rowOff>123825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0" y="60325"/>
          <a:ext cx="6191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63500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714375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6635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9526</xdr:colOff>
      <xdr:row>5</xdr:row>
      <xdr:rowOff>9525</xdr:rowOff>
    </xdr:from>
    <xdr:to>
      <xdr:col>3</xdr:col>
      <xdr:colOff>57151</xdr:colOff>
      <xdr:row>15</xdr:row>
      <xdr:rowOff>16852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28575</xdr:rowOff>
    </xdr:from>
    <xdr:to>
      <xdr:col>3</xdr:col>
      <xdr:colOff>380999</xdr:colOff>
      <xdr:row>37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537881</xdr:colOff>
      <xdr:row>4</xdr:row>
      <xdr:rowOff>156882</xdr:rowOff>
    </xdr:from>
    <xdr:to>
      <xdr:col>10</xdr:col>
      <xdr:colOff>484654</xdr:colOff>
      <xdr:row>14</xdr:row>
      <xdr:rowOff>164209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33617</xdr:colOff>
      <xdr:row>25</xdr:row>
      <xdr:rowOff>145676</xdr:rowOff>
    </xdr:from>
    <xdr:to>
      <xdr:col>10</xdr:col>
      <xdr:colOff>585507</xdr:colOff>
      <xdr:row>37</xdr:row>
      <xdr:rowOff>145676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723901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1" y="50800"/>
          <a:ext cx="6731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212912</xdr:colOff>
      <xdr:row>18</xdr:row>
      <xdr:rowOff>179294</xdr:rowOff>
    </xdr:from>
    <xdr:to>
      <xdr:col>6</xdr:col>
      <xdr:colOff>302559</xdr:colOff>
      <xdr:row>42</xdr:row>
      <xdr:rowOff>17370</xdr:rowOff>
    </xdr:to>
    <xdr:graphicFrame macro="">
      <xdr:nvGraphicFramePr>
        <xdr:cNvPr id="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89646</xdr:colOff>
      <xdr:row>19</xdr:row>
      <xdr:rowOff>0</xdr:rowOff>
    </xdr:from>
    <xdr:to>
      <xdr:col>16</xdr:col>
      <xdr:colOff>515470</xdr:colOff>
      <xdr:row>40</xdr:row>
      <xdr:rowOff>133350</xdr:rowOff>
    </xdr:to>
    <xdr:graphicFrame macro="">
      <xdr:nvGraphicFramePr>
        <xdr:cNvPr id="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0.03622</cdr:x>
      <cdr:y>0.03826</cdr:y>
    </cdr:from>
    <cdr:to>
      <cdr:x>0.2528</cdr:x>
      <cdr:y>0.20674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40" y="168730"/>
          <a:ext cx="848761" cy="743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Pro-cyclical</a:t>
          </a:r>
          <a:r>
            <a:rPr lang="sk-SK" sz="800" b="1" i="0" strike="noStrike" baseline="0">
              <a:solidFill>
                <a:sysClr val="windowText" lastClr="000000"/>
              </a:solidFill>
              <a:latin typeface="Arial Narrow"/>
            </a:rPr>
            <a:t> fiscal consolidation</a:t>
          </a:r>
        </a:p>
        <a:p xmlns:a="http://schemas.openxmlformats.org/drawingml/2006/main">
          <a:pPr algn="l" rtl="1">
            <a:defRPr sz="1000"/>
          </a:pPr>
          <a:endParaRPr lang="sk-SK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0.03987</cdr:x>
      <cdr:y>0.85885</cdr:y>
    </cdr:from>
    <cdr:to>
      <cdr:x>0.25943</cdr:x>
      <cdr:y>0.98035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245" y="3787593"/>
          <a:ext cx="860434" cy="535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Counter-cyclical</a:t>
          </a:r>
          <a:r>
            <a:rPr lang="cs-CZ" sz="800" b="1" i="0" strike="noStrike" baseline="0">
              <a:solidFill>
                <a:sysClr val="windowText" lastClr="000000"/>
              </a:solidFill>
              <a:latin typeface="Arial Narrow"/>
            </a:rPr>
            <a:t> fiscal expansion</a:t>
          </a:r>
          <a:endParaRPr lang="cs-CZ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0.6281</cdr:x>
      <cdr:y>0.03114</cdr:y>
    </cdr:from>
    <cdr:to>
      <cdr:x>0.74555</cdr:x>
      <cdr:y>0.64468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1338685" y="1260076"/>
          <a:ext cx="2705758" cy="460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ctr" anchorCtr="1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∆ prim. štrukturálneho salda (% HDP) -  </a:t>
          </a:r>
          <a:r>
            <a:rPr lang="sk-SK" sz="800" b="1" i="0" baseline="0">
              <a:effectLst/>
              <a:latin typeface="+mn-lt"/>
              <a:ea typeface="+mn-ea"/>
              <a:cs typeface="+mn-cs"/>
            </a:rPr>
            <a:t>∆ prim. structural balance</a:t>
          </a:r>
          <a:r>
            <a:rPr lang="en-US" sz="800" b="1" i="0" baseline="0">
              <a:effectLst/>
              <a:latin typeface="+mn-lt"/>
              <a:ea typeface="+mn-ea"/>
              <a:cs typeface="+mn-cs"/>
            </a:rPr>
            <a:t> (% of GDP)</a:t>
          </a:r>
          <a:endParaRPr lang="sk-SK" sz="800" b="1" i="0" u="none" strike="noStrike" baseline="0">
            <a:solidFill>
              <a:srgbClr val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0.75713</cdr:x>
      <cdr:y>0.03677</cdr:y>
    </cdr:from>
    <cdr:to>
      <cdr:x>0.98639</cdr:x>
      <cdr:y>0.1581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7078" y="162158"/>
          <a:ext cx="898442" cy="535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Counter-cyclical fiscal consolidation</a:t>
          </a:r>
        </a:p>
      </cdr:txBody>
    </cdr:sp>
  </cdr:relSizeAnchor>
  <cdr:relSizeAnchor xmlns:cdr="http://schemas.openxmlformats.org/drawingml/2006/chartDrawing">
    <cdr:from>
      <cdr:x>0.73892</cdr:x>
      <cdr:y>0.83309</cdr:y>
    </cdr:from>
    <cdr:to>
      <cdr:x>0.97976</cdr:x>
      <cdr:y>0.96003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5702" y="3674001"/>
          <a:ext cx="943841" cy="5598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Pro-cyclical fiscal expansion</a:t>
          </a:r>
        </a:p>
      </cdr:txBody>
    </cdr:sp>
  </cdr:relSizeAnchor>
  <cdr:relSizeAnchor xmlns:cdr="http://schemas.openxmlformats.org/drawingml/2006/chartDrawing">
    <cdr:from>
      <cdr:x>0</cdr:x>
      <cdr:y>0.71425</cdr:y>
    </cdr:from>
    <cdr:to>
      <cdr:x>0.71769</cdr:x>
      <cdr:y>0.76486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0" y="3149888"/>
          <a:ext cx="2812531" cy="223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 b="1"/>
            <a:t>Produčná medzera (% HDP) - Output Gap ( </a:t>
          </a:r>
          <a:r>
            <a:rPr lang="en-US" sz="800" b="1"/>
            <a:t>%</a:t>
          </a:r>
          <a:r>
            <a:rPr lang="en-US" sz="800" b="1" baseline="0"/>
            <a:t> of GDP)</a:t>
          </a:r>
          <a:endParaRPr lang="sk-SK" sz="800" b="1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0.02222</cdr:x>
      <cdr:y>0.76553</cdr:y>
    </cdr:from>
    <cdr:to>
      <cdr:x>0.56123</cdr:x>
      <cdr:y>0.81622</cdr:y>
    </cdr:to>
    <cdr:sp macro="" textlink="">
      <cdr:nvSpPr>
        <cdr:cNvPr id="9" name="BlokTextu 3"/>
        <cdr:cNvSpPr txBox="1"/>
      </cdr:nvSpPr>
      <cdr:spPr>
        <a:xfrm xmlns:a="http://schemas.openxmlformats.org/drawingml/2006/main">
          <a:off x="99441" y="3164599"/>
          <a:ext cx="2411695" cy="20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∆ produkčnej medzery (p.b.)</a:t>
          </a:r>
          <a:r>
            <a:rPr lang="en-US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sk-SK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∆ </a:t>
          </a:r>
          <a:r>
            <a:rPr lang="en-US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output gap (p.p.)</a:t>
          </a:r>
          <a:endParaRPr lang="sk-SK" sz="800" b="1"/>
        </a:p>
      </cdr:txBody>
    </cdr:sp>
  </cdr:relSizeAnchor>
  <cdr:relSizeAnchor xmlns:cdr="http://schemas.openxmlformats.org/drawingml/2006/chartDrawing">
    <cdr:from>
      <cdr:x>0.01135</cdr:x>
      <cdr:y>0.01229</cdr:y>
    </cdr:from>
    <cdr:to>
      <cdr:x>0.20105</cdr:x>
      <cdr:y>0.19203</cdr:y>
    </cdr:to>
    <cdr:sp macro="" textlink="">
      <cdr:nvSpPr>
        <cdr:cNvPr id="1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48761" cy="743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Pro-cyclical</a:t>
          </a:r>
          <a:r>
            <a:rPr lang="sk-SK" sz="800" b="1" i="0" strike="noStrike" baseline="0">
              <a:solidFill>
                <a:sysClr val="windowText" lastClr="000000"/>
              </a:solidFill>
              <a:latin typeface="Arial Narrow"/>
            </a:rPr>
            <a:t> fiscal consolidation</a:t>
          </a:r>
        </a:p>
        <a:p xmlns:a="http://schemas.openxmlformats.org/drawingml/2006/main">
          <a:pPr algn="l" rtl="1">
            <a:defRPr sz="1000"/>
          </a:pPr>
          <a:endParaRPr lang="sk-SK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0.76611</cdr:x>
      <cdr:y>0.02276</cdr:y>
    </cdr:from>
    <cdr:to>
      <cdr:x>0.96691</cdr:x>
      <cdr:y>0.1522</cdr:y>
    </cdr:to>
    <cdr:sp macro="" textlink="">
      <cdr:nvSpPr>
        <cdr:cNvPr id="11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7845" y="94096"/>
          <a:ext cx="898442" cy="535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Counter-cyclical fiscal consolidation</a:t>
          </a:r>
        </a:p>
      </cdr:txBody>
    </cdr:sp>
  </cdr:relSizeAnchor>
  <cdr:relSizeAnchor xmlns:cdr="http://schemas.openxmlformats.org/drawingml/2006/chartDrawing">
    <cdr:from>
      <cdr:x>0.00555</cdr:x>
      <cdr:y>0.86692</cdr:y>
    </cdr:from>
    <cdr:to>
      <cdr:x>0.19785</cdr:x>
      <cdr:y>0.99654</cdr:y>
    </cdr:to>
    <cdr:sp macro="" textlink="">
      <cdr:nvSpPr>
        <cdr:cNvPr id="12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23" y="3583709"/>
          <a:ext cx="860434" cy="535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Counter-cyclical</a:t>
          </a:r>
          <a:r>
            <a:rPr lang="cs-CZ" sz="800" b="1" i="0" strike="noStrike" baseline="0">
              <a:solidFill>
                <a:sysClr val="windowText" lastClr="000000"/>
              </a:solidFill>
              <a:latin typeface="Arial Narrow"/>
            </a:rPr>
            <a:t> fiscal expansion</a:t>
          </a:r>
          <a:endParaRPr lang="cs-CZ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0.74482</cdr:x>
      <cdr:y>0.85854</cdr:y>
    </cdr:from>
    <cdr:to>
      <cdr:x>0.95577</cdr:x>
      <cdr:y>0.99396</cdr:y>
    </cdr:to>
    <cdr:sp macro="" textlink="">
      <cdr:nvSpPr>
        <cdr:cNvPr id="13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95" y="3549073"/>
          <a:ext cx="943841" cy="5598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Pro-cyclical fiscal expansion</a:t>
          </a:r>
        </a:p>
      </cdr:txBody>
    </cdr:sp>
  </cdr:relSizeAnchor>
  <cdr:relSizeAnchor xmlns:cdr="http://schemas.openxmlformats.org/drawingml/2006/chartDrawing">
    <cdr:from>
      <cdr:x>0.42163</cdr:x>
      <cdr:y>0.06047</cdr:y>
    </cdr:from>
    <cdr:to>
      <cdr:x>0.52449</cdr:x>
      <cdr:y>0.715</cdr:y>
    </cdr:to>
    <cdr:sp macro="" textlink="">
      <cdr:nvSpPr>
        <cdr:cNvPr id="14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763767" y="1372719"/>
          <a:ext cx="2705758" cy="460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27432" tIns="27432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∆ prim. štrukturálneho salda (% HDP) -  </a:t>
          </a:r>
          <a:r>
            <a:rPr lang="sk-SK" sz="800" b="1" i="0" baseline="0">
              <a:effectLst/>
              <a:latin typeface="+mn-lt"/>
              <a:ea typeface="+mn-ea"/>
              <a:cs typeface="+mn-cs"/>
            </a:rPr>
            <a:t>∆ prim. structural balance</a:t>
          </a:r>
          <a:r>
            <a:rPr lang="en-US" sz="800" b="1" i="0" baseline="0">
              <a:effectLst/>
              <a:latin typeface="+mn-lt"/>
              <a:ea typeface="+mn-ea"/>
              <a:cs typeface="+mn-cs"/>
            </a:rPr>
            <a:t> (% of GDP)</a:t>
          </a:r>
          <a:endParaRPr lang="sk-SK" sz="800" b="1" i="0" u="none" strike="noStrike" baseline="0">
            <a:solidFill>
              <a:srgbClr val="000000"/>
            </a:solidFill>
            <a:latin typeface="Arial Narrow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10</xdr:col>
      <xdr:colOff>609600</xdr:colOff>
      <xdr:row>3</xdr:row>
      <xdr:rowOff>85725</xdr:rowOff>
    </xdr:from>
    <xdr:to>
      <xdr:col>19</xdr:col>
      <xdr:colOff>57149</xdr:colOff>
      <xdr:row>20</xdr:row>
      <xdr:rowOff>114300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57150</xdr:colOff>
      <xdr:row>37</xdr:row>
      <xdr:rowOff>104774</xdr:rowOff>
    </xdr:from>
    <xdr:to>
      <xdr:col>18</xdr:col>
      <xdr:colOff>428625</xdr:colOff>
      <xdr:row>53</xdr:row>
      <xdr:rowOff>66674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819151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7683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6</xdr:col>
      <xdr:colOff>257175</xdr:colOff>
      <xdr:row>17</xdr:row>
      <xdr:rowOff>57150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99172</xdr:colOff>
      <xdr:row>3</xdr:row>
      <xdr:rowOff>4483</xdr:rowOff>
    </xdr:from>
    <xdr:to>
      <xdr:col>14</xdr:col>
      <xdr:colOff>356347</xdr:colOff>
      <xdr:row>16</xdr:row>
      <xdr:rowOff>185458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63500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666751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6159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3</xdr:col>
      <xdr:colOff>457200</xdr:colOff>
      <xdr:row>17</xdr:row>
      <xdr:rowOff>161925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13</xdr:col>
      <xdr:colOff>504825</xdr:colOff>
      <xdr:row>17</xdr:row>
      <xdr:rowOff>104775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1</xdr:row>
      <xdr:rowOff>74706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0" y="0"/>
          <a:ext cx="757518" cy="265206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13</xdr:col>
      <xdr:colOff>571499</xdr:colOff>
      <xdr:row>7</xdr:row>
      <xdr:rowOff>179294</xdr:rowOff>
    </xdr:from>
    <xdr:to>
      <xdr:col>24</xdr:col>
      <xdr:colOff>395205</xdr:colOff>
      <xdr:row>26</xdr:row>
      <xdr:rowOff>159794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104775</xdr:colOff>
      <xdr:row>3</xdr:row>
      <xdr:rowOff>19050</xdr:rowOff>
    </xdr:from>
    <xdr:to>
      <xdr:col>8</xdr:col>
      <xdr:colOff>329141</xdr:colOff>
      <xdr:row>20</xdr:row>
      <xdr:rowOff>135467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8</xdr:col>
      <xdr:colOff>224366</xdr:colOff>
      <xdr:row>42</xdr:row>
      <xdr:rowOff>116417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885825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835025" cy="2825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76200</xdr:colOff>
      <xdr:row>3</xdr:row>
      <xdr:rowOff>114301</xdr:rowOff>
    </xdr:from>
    <xdr:to>
      <xdr:col>1</xdr:col>
      <xdr:colOff>582705</xdr:colOff>
      <xdr:row>15</xdr:row>
      <xdr:rowOff>100853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438150</xdr:colOff>
      <xdr:row>3</xdr:row>
      <xdr:rowOff>76200</xdr:rowOff>
    </xdr:from>
    <xdr:to>
      <xdr:col>5</xdr:col>
      <xdr:colOff>78441</xdr:colOff>
      <xdr:row>15</xdr:row>
      <xdr:rowOff>56029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33617</xdr:rowOff>
    </xdr:from>
    <xdr:to>
      <xdr:col>1</xdr:col>
      <xdr:colOff>581025</xdr:colOff>
      <xdr:row>30</xdr:row>
      <xdr:rowOff>138391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18</xdr:row>
      <xdr:rowOff>44823</xdr:rowOff>
    </xdr:from>
    <xdr:to>
      <xdr:col>5</xdr:col>
      <xdr:colOff>238125</xdr:colOff>
      <xdr:row>30</xdr:row>
      <xdr:rowOff>140073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0.45017</cdr:x>
      <cdr:y>0.06814</cdr:y>
    </cdr:from>
    <cdr:to>
      <cdr:x>0.62851</cdr:x>
      <cdr:y>0.12492</cdr:y>
    </cdr:to>
    <cdr:sp macro="" textlink="">
      <cdr:nvSpPr>
        <cdr:cNvPr id="3" name="BlokTextu 2"/>
        <cdr:cNvSpPr txBox="1"/>
      </cdr:nvSpPr>
      <cdr:spPr>
        <a:xfrm xmlns:a="http://schemas.openxmlformats.org/drawingml/2006/main">
          <a:off x="2476500" y="228600"/>
          <a:ext cx="9810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0.4571</cdr:x>
      <cdr:y>0.05394</cdr:y>
    </cdr:from>
    <cdr:to>
      <cdr:x>0.74971</cdr:x>
      <cdr:y>0.13912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2514600" y="180975"/>
          <a:ext cx="1609725" cy="2857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>
              <a:latin typeface="+mn-lt"/>
            </a:rPr>
            <a:t>12m</a:t>
          </a:r>
          <a:r>
            <a:rPr lang="sk-SK" sz="800" baseline="0">
              <a:latin typeface="+mn-lt"/>
            </a:rPr>
            <a:t> rolling average</a:t>
          </a:r>
          <a:endParaRPr lang="sk-SK" sz="800">
            <a:latin typeface="+mn-lt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555625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27</xdr:row>
      <xdr:rowOff>9805</xdr:rowOff>
    </xdr:from>
    <xdr:to>
      <xdr:col>10</xdr:col>
      <xdr:colOff>466724</xdr:colOff>
      <xdr:row>45</xdr:row>
      <xdr:rowOff>100853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19050</xdr:rowOff>
    </xdr:from>
    <xdr:to>
      <xdr:col>1</xdr:col>
      <xdr:colOff>838200</xdr:colOff>
      <xdr:row>1</xdr:row>
      <xdr:rowOff>111125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76200" y="1905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376798</xdr:colOff>
      <xdr:row>12</xdr:row>
      <xdr:rowOff>90488</xdr:rowOff>
    </xdr:from>
    <xdr:to>
      <xdr:col>5</xdr:col>
      <xdr:colOff>502123</xdr:colOff>
      <xdr:row>25</xdr:row>
      <xdr:rowOff>133988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251011</xdr:colOff>
      <xdr:row>33</xdr:row>
      <xdr:rowOff>149598</xdr:rowOff>
    </xdr:from>
    <xdr:to>
      <xdr:col>6</xdr:col>
      <xdr:colOff>22792</xdr:colOff>
      <xdr:row>47</xdr:row>
      <xdr:rowOff>25010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397566</xdr:colOff>
      <xdr:row>14</xdr:row>
      <xdr:rowOff>57978</xdr:rowOff>
    </xdr:from>
    <xdr:to>
      <xdr:col>5</xdr:col>
      <xdr:colOff>41414</xdr:colOff>
      <xdr:row>15</xdr:row>
      <xdr:rowOff>107673</xdr:rowOff>
    </xdr:to>
    <xdr:sp macro="" textlink="">
      <xdr:nvSpPr>
        <xdr:cNvPr id="4" name="BlokTextu 3"/>
        <xdr:cNvSpPr txBox="1"/>
      </xdr:nvSpPr>
      <xdr:spPr>
        <a:xfrm>
          <a:off x="2293041" y="2724978"/>
          <a:ext cx="863048" cy="240195"/>
        </a:xfrm>
        <a:prstGeom prst="rect">
          <a:avLst/>
        </a:prstGeom>
        <a:solidFill>
          <a:schemeClr val="accent6"/>
        </a:solidFill>
        <a:ln w="952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000" b="1">
              <a:latin typeface="Arial Narrow" panose="020B0606020202030204" pitchFamily="34" charset="0"/>
            </a:rPr>
            <a:t>Výsoké riziko</a:t>
          </a:r>
        </a:p>
      </xdr:txBody>
    </xdr:sp>
    <xdr:clientData/>
  </xdr:twoCellAnchor>
  <xdr:twoCellAnchor>
    <xdr:from>
      <xdr:col>1</xdr:col>
      <xdr:colOff>124239</xdr:colOff>
      <xdr:row>0</xdr:row>
      <xdr:rowOff>91108</xdr:rowOff>
    </xdr:from>
    <xdr:to>
      <xdr:col>1</xdr:col>
      <xdr:colOff>886239</xdr:colOff>
      <xdr:row>1</xdr:row>
      <xdr:rowOff>154608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124239" y="91108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0.59352</cdr:x>
      <cdr:y>0.31363</cdr:y>
    </cdr:from>
    <cdr:to>
      <cdr:x>0.87166</cdr:x>
      <cdr:y>0.40895</cdr:y>
    </cdr:to>
    <cdr:sp macro="" textlink="">
      <cdr:nvSpPr>
        <cdr:cNvPr id="2" name="BlokTextu 3"/>
        <cdr:cNvSpPr txBox="1"/>
      </cdr:nvSpPr>
      <cdr:spPr>
        <a:xfrm xmlns:a="http://schemas.openxmlformats.org/drawingml/2006/main">
          <a:off x="1763730" y="698977"/>
          <a:ext cx="826526" cy="2124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AF"/>
        </a:solidFill>
        <a:ln xmlns:a="http://schemas.openxmlformats.org/drawingml/2006/main" w="9525" cmpd="sng">
          <a:solidFill>
            <a:srgbClr val="FFFFAF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Stredné riziko</a:t>
          </a:r>
        </a:p>
      </cdr:txBody>
    </cdr:sp>
  </cdr:relSizeAnchor>
  <cdr:relSizeAnchor xmlns:cdr="http://schemas.openxmlformats.org/drawingml/2006/chartDrawing">
    <cdr:from>
      <cdr:x>0.18905</cdr:x>
      <cdr:y>0.57562</cdr:y>
    </cdr:from>
    <cdr:to>
      <cdr:x>0.43404</cdr:x>
      <cdr:y>0.67093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614017" y="1450561"/>
          <a:ext cx="795683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  <a:ln xmlns:a="http://schemas.openxmlformats.org/drawingml/2006/main" w="9525" cmpd="sng">
          <a:solidFill>
            <a:schemeClr val="accent3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Nízke riziko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0.62171</cdr:x>
      <cdr:y>0.09575</cdr:y>
    </cdr:from>
    <cdr:to>
      <cdr:x>0.8891</cdr:x>
      <cdr:y>0.19107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2022061" y="241300"/>
          <a:ext cx="869674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 w="9525" cmpd="sng">
          <a:solidFill>
            <a:schemeClr val="accent6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Výsoké riziko</a:t>
          </a:r>
        </a:p>
      </cdr:txBody>
    </cdr:sp>
  </cdr:relSizeAnchor>
  <cdr:relSizeAnchor xmlns:cdr="http://schemas.openxmlformats.org/drawingml/2006/chartDrawing">
    <cdr:from>
      <cdr:x>0.61407</cdr:x>
      <cdr:y>0.25352</cdr:y>
    </cdr:from>
    <cdr:to>
      <cdr:x>0.89182</cdr:x>
      <cdr:y>0.34883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1997213" y="638865"/>
          <a:ext cx="903357" cy="240195"/>
        </a:xfrm>
        <a:prstGeom xmlns:a="http://schemas.openxmlformats.org/drawingml/2006/main" prst="rect">
          <a:avLst/>
        </a:prstGeom>
        <a:solidFill xmlns:a="http://schemas.openxmlformats.org/drawingml/2006/main">
          <a:srgbClr val="FFFFAF"/>
        </a:solidFill>
        <a:ln xmlns:a="http://schemas.openxmlformats.org/drawingml/2006/main" w="9525" cmpd="sng">
          <a:solidFill>
            <a:srgbClr val="FFFFAF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Stredné riziko</a:t>
          </a:r>
        </a:p>
      </cdr:txBody>
    </cdr:sp>
  </cdr:relSizeAnchor>
  <cdr:relSizeAnchor xmlns:cdr="http://schemas.openxmlformats.org/drawingml/2006/chartDrawing">
    <cdr:from>
      <cdr:x>0.14518</cdr:x>
      <cdr:y>0.63766</cdr:y>
    </cdr:from>
    <cdr:to>
      <cdr:x>0.49506</cdr:x>
      <cdr:y>0.73297</cdr:y>
    </cdr:to>
    <cdr:sp macro="" textlink="">
      <cdr:nvSpPr>
        <cdr:cNvPr id="5" name="BlokTextu 3"/>
        <cdr:cNvSpPr txBox="1"/>
      </cdr:nvSpPr>
      <cdr:spPr>
        <a:xfrm xmlns:a="http://schemas.openxmlformats.org/drawingml/2006/main">
          <a:off x="472178" y="1606893"/>
          <a:ext cx="1137960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Nízke   </a:t>
          </a:r>
          <a:r>
            <a:rPr lang="sk-SK" sz="1000" b="1" baseline="0">
              <a:latin typeface="Arial Narrow" panose="020B0606020202030204" pitchFamily="34" charset="0"/>
            </a:rPr>
            <a:t> </a:t>
          </a:r>
          <a:r>
            <a:rPr lang="sk-SK" sz="1000" b="1">
              <a:latin typeface="Arial Narrow" panose="020B0606020202030204" pitchFamily="34" charset="0"/>
            </a:rPr>
            <a:t> riziko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3</xdr:row>
      <xdr:rowOff>28574</xdr:rowOff>
    </xdr:from>
    <xdr:to>
      <xdr:col>3</xdr:col>
      <xdr:colOff>381000</xdr:colOff>
      <xdr:row>15</xdr:row>
      <xdr:rowOff>123824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847724</xdr:colOff>
      <xdr:row>3</xdr:row>
      <xdr:rowOff>9524</xdr:rowOff>
    </xdr:from>
    <xdr:to>
      <xdr:col>5</xdr:col>
      <xdr:colOff>409575</xdr:colOff>
      <xdr:row>15</xdr:row>
      <xdr:rowOff>66674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3</xdr:col>
      <xdr:colOff>381000</xdr:colOff>
      <xdr:row>34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22</xdr:row>
      <xdr:rowOff>76200</xdr:rowOff>
    </xdr:from>
    <xdr:to>
      <xdr:col>5</xdr:col>
      <xdr:colOff>457201</xdr:colOff>
      <xdr:row>34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762001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1" y="50800"/>
          <a:ext cx="7112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16</xdr:row>
      <xdr:rowOff>68580</xdr:rowOff>
    </xdr:from>
    <xdr:to>
      <xdr:col>11</xdr:col>
      <xdr:colOff>30480</xdr:colOff>
      <xdr:row>35</xdr:row>
      <xdr:rowOff>106680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156882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156882</xdr:colOff>
      <xdr:row>7</xdr:row>
      <xdr:rowOff>63500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31588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33755</xdr:colOff>
      <xdr:row>22</xdr:row>
      <xdr:rowOff>25549</xdr:rowOff>
    </xdr:from>
    <xdr:to>
      <xdr:col>3</xdr:col>
      <xdr:colOff>699246</xdr:colOff>
      <xdr:row>39</xdr:row>
      <xdr:rowOff>127747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666750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667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0.18209</cdr:x>
      <cdr:y>0.15609</cdr:y>
    </cdr:from>
    <cdr:to>
      <cdr:x>0.29376</cdr:x>
      <cdr:y>0.2172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944294" y="428185"/>
          <a:ext cx="579120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0.15858</cdr:x>
      <cdr:y>0.10609</cdr:y>
    </cdr:from>
    <cdr:to>
      <cdr:x>0.26584</cdr:x>
      <cdr:y>0.19498</cdr:y>
    </cdr:to>
    <cdr:sp macro="" textlink="">
      <cdr:nvSpPr>
        <cdr:cNvPr id="3" name="BlokTextu 2"/>
        <cdr:cNvSpPr txBox="1"/>
      </cdr:nvSpPr>
      <cdr:spPr>
        <a:xfrm xmlns:a="http://schemas.openxmlformats.org/drawingml/2006/main">
          <a:off x="822374" y="291025"/>
          <a:ext cx="55626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2</xdr:row>
      <xdr:rowOff>0</xdr:rowOff>
    </xdr:from>
    <xdr:to>
      <xdr:col>9</xdr:col>
      <xdr:colOff>600074</xdr:colOff>
      <xdr:row>13</xdr:row>
      <xdr:rowOff>161925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10</xdr:col>
      <xdr:colOff>38100</xdr:colOff>
      <xdr:row>3</xdr:row>
      <xdr:rowOff>19049</xdr:rowOff>
    </xdr:from>
    <xdr:to>
      <xdr:col>11</xdr:col>
      <xdr:colOff>495300</xdr:colOff>
      <xdr:row>12</xdr:row>
      <xdr:rowOff>47624</xdr:rowOff>
    </xdr:to>
    <xdr:sp macro="" textlink="">
      <xdr:nvSpPr>
        <xdr:cNvPr id="3" name="Zaoblený obdĺžnik 2"/>
        <xdr:cNvSpPr/>
      </xdr:nvSpPr>
      <xdr:spPr>
        <a:xfrm>
          <a:off x="6134100" y="542924"/>
          <a:ext cx="1066800" cy="1571625"/>
        </a:xfrm>
        <a:prstGeom prst="roundRect">
          <a:avLst>
            <a:gd name="adj" fmla="val 10000"/>
          </a:avLst>
        </a:prstGeom>
        <a:solidFill>
          <a:srgbClr val="D2DEEF"/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2">
            <a:hueOff val="0"/>
            <a:satOff val="0"/>
            <a:lumOff val="0"/>
            <a:alphaOff val="0"/>
          </a:schemeClr>
        </a:fillRef>
        <a:effectRef idx="0">
          <a:schemeClr val="accent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sk-SK"/>
        </a:p>
      </xdr:txBody>
    </xdr:sp>
    <xdr:clientData/>
  </xdr:twoCellAnchor>
  <xdr:twoCellAnchor>
    <xdr:from>
      <xdr:col>9</xdr:col>
      <xdr:colOff>533400</xdr:colOff>
      <xdr:row>3</xdr:row>
      <xdr:rowOff>66675</xdr:rowOff>
    </xdr:from>
    <xdr:to>
      <xdr:col>11</xdr:col>
      <xdr:colOff>107315</xdr:colOff>
      <xdr:row>5</xdr:row>
      <xdr:rowOff>75565</xdr:rowOff>
    </xdr:to>
    <xdr:sp macro="" textlink="">
      <xdr:nvSpPr>
        <xdr:cNvPr id="4" name="BlokTextu 8"/>
        <xdr:cNvSpPr txBox="1"/>
      </xdr:nvSpPr>
      <xdr:spPr>
        <a:xfrm>
          <a:off x="6019800" y="590550"/>
          <a:ext cx="793115" cy="351790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 algn="ctr" fontAlgn="base">
            <a:spcAft>
              <a:spcPts val="0"/>
            </a:spcAft>
          </a:pPr>
          <a:r>
            <a:rPr lang="sk-SK" sz="1000" kern="1200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Kontrola kvality</a:t>
          </a:r>
          <a:endParaRPr lang="sk-SK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180975</xdr:colOff>
      <xdr:row>6</xdr:row>
      <xdr:rowOff>0</xdr:rowOff>
    </xdr:from>
    <xdr:to>
      <xdr:col>11</xdr:col>
      <xdr:colOff>400050</xdr:colOff>
      <xdr:row>10</xdr:row>
      <xdr:rowOff>28575</xdr:rowOff>
    </xdr:to>
    <xdr:sp macro="" textlink="">
      <xdr:nvSpPr>
        <xdr:cNvPr id="68612" name="Zaoblený obdĺžnik 45"/>
        <xdr:cNvSpPr>
          <a:spLocks noChangeArrowheads="1"/>
        </xdr:cNvSpPr>
      </xdr:nvSpPr>
      <xdr:spPr bwMode="auto">
        <a:xfrm>
          <a:off x="6276975" y="1038225"/>
          <a:ext cx="828675" cy="714375"/>
        </a:xfrm>
        <a:prstGeom prst="roundRect">
          <a:avLst>
            <a:gd name="adj" fmla="val 10000"/>
          </a:avLst>
        </a:prstGeom>
        <a:solidFill>
          <a:srgbClr val="2C9ADC"/>
        </a:solidFill>
        <a:ln w="25400">
          <a:solidFill>
            <a:srgbClr val="FFFFFF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k-SK" sz="1000" b="0" i="0" u="none" strike="noStrike" baseline="0">
              <a:solidFill>
                <a:srgbClr val="000000"/>
              </a:solidFill>
              <a:latin typeface="Arial Narrow"/>
            </a:rPr>
            <a:t>Výbor pre Hodnotu za peniaze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1</xdr:row>
      <xdr:rowOff>63500</xdr:rowOff>
    </xdr:to>
    <xdr:sp macro="" textlink="">
      <xdr:nvSpPr>
        <xdr:cNvPr id="6" name="Zaoblený obdĺžnik 5">
          <a:hlinkClick xmlns:r="http://schemas.openxmlformats.org/officeDocument/2006/relationships" r:id="rId6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132546</xdr:colOff>
      <xdr:row>7</xdr:row>
      <xdr:rowOff>51866</xdr:rowOff>
    </xdr:from>
    <xdr:to>
      <xdr:col>6</xdr:col>
      <xdr:colOff>336175</xdr:colOff>
      <xdr:row>16</xdr:row>
      <xdr:rowOff>190499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2</xdr:col>
      <xdr:colOff>100853</xdr:colOff>
      <xdr:row>28</xdr:row>
      <xdr:rowOff>145677</xdr:rowOff>
    </xdr:from>
    <xdr:to>
      <xdr:col>6</xdr:col>
      <xdr:colOff>304482</xdr:colOff>
      <xdr:row>38</xdr:row>
      <xdr:rowOff>93810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7</xdr:col>
      <xdr:colOff>600075</xdr:colOff>
      <xdr:row>18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9526</xdr:colOff>
      <xdr:row>2</xdr:row>
      <xdr:rowOff>28575</xdr:rowOff>
    </xdr:from>
    <xdr:to>
      <xdr:col>20</xdr:col>
      <xdr:colOff>428626</xdr:colOff>
      <xdr:row>18</xdr:row>
      <xdr:rowOff>28575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29</xdr:row>
      <xdr:rowOff>9525</xdr:rowOff>
    </xdr:from>
    <xdr:to>
      <xdr:col>7</xdr:col>
      <xdr:colOff>600075</xdr:colOff>
      <xdr:row>45</xdr:row>
      <xdr:rowOff>95250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</xdr:colOff>
      <xdr:row>29</xdr:row>
      <xdr:rowOff>19050</xdr:rowOff>
    </xdr:from>
    <xdr:to>
      <xdr:col>20</xdr:col>
      <xdr:colOff>428625</xdr:colOff>
      <xdr:row>45</xdr:row>
      <xdr:rowOff>19050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0</xdr:col>
      <xdr:colOff>1028701</xdr:colOff>
      <xdr:row>1</xdr:row>
      <xdr:rowOff>82550</xdr:rowOff>
    </xdr:to>
    <xdr:sp macro="" textlink="">
      <xdr:nvSpPr>
        <xdr:cNvPr id="7" name="Zaoblený obdĺžnik 6">
          <a:hlinkClick xmlns:r="http://schemas.openxmlformats.org/officeDocument/2006/relationships" r:id="rId5"/>
        </xdr:cNvPr>
        <xdr:cNvSpPr/>
      </xdr:nvSpPr>
      <xdr:spPr>
        <a:xfrm>
          <a:off x="1" y="0"/>
          <a:ext cx="10287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42862</xdr:rowOff>
    </xdr:from>
    <xdr:to>
      <xdr:col>5</xdr:col>
      <xdr:colOff>428624</xdr:colOff>
      <xdr:row>18</xdr:row>
      <xdr:rowOff>57150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31</xdr:row>
      <xdr:rowOff>33337</xdr:rowOff>
    </xdr:from>
    <xdr:to>
      <xdr:col>5</xdr:col>
      <xdr:colOff>390524</xdr:colOff>
      <xdr:row>46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133350</xdr:colOff>
      <xdr:row>3</xdr:row>
      <xdr:rowOff>85725</xdr:rowOff>
    </xdr:from>
    <xdr:to>
      <xdr:col>13</xdr:col>
      <xdr:colOff>409575</xdr:colOff>
      <xdr:row>18</xdr:row>
      <xdr:rowOff>28575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733425</xdr:colOff>
      <xdr:row>25</xdr:row>
      <xdr:rowOff>38100</xdr:rowOff>
    </xdr:from>
    <xdr:to>
      <xdr:col>13</xdr:col>
      <xdr:colOff>266700</xdr:colOff>
      <xdr:row>39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8" name="Zaoblený obdĺžnik 7">
          <a:hlinkClick xmlns:r="http://schemas.openxmlformats.org/officeDocument/2006/relationships" r:id="rId5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9524</xdr:rowOff>
    </xdr:from>
    <xdr:to>
      <xdr:col>10</xdr:col>
      <xdr:colOff>1304925</xdr:colOff>
      <xdr:row>17</xdr:row>
      <xdr:rowOff>142875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31</xdr:row>
      <xdr:rowOff>9524</xdr:rowOff>
    </xdr:from>
    <xdr:to>
      <xdr:col>10</xdr:col>
      <xdr:colOff>1304925</xdr:colOff>
      <xdr:row>46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</xdr:row>
      <xdr:rowOff>19050</xdr:rowOff>
    </xdr:from>
    <xdr:to>
      <xdr:col>4</xdr:col>
      <xdr:colOff>542925</xdr:colOff>
      <xdr:row>18</xdr:row>
      <xdr:rowOff>57150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19050</xdr:rowOff>
    </xdr:from>
    <xdr:to>
      <xdr:col>4</xdr:col>
      <xdr:colOff>542925</xdr:colOff>
      <xdr:row>61</xdr:row>
      <xdr:rowOff>57150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92075</xdr:rowOff>
    </xdr:to>
    <xdr:sp macro="" textlink="">
      <xdr:nvSpPr>
        <xdr:cNvPr id="8" name="Zaoblený obdĺžnik 7">
          <a:hlinkClick xmlns:r="http://schemas.openxmlformats.org/officeDocument/2006/relationships" r:id="rId5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123825</xdr:colOff>
      <xdr:row>17</xdr:row>
      <xdr:rowOff>270621</xdr:rowOff>
    </xdr:to>
    <xdr:sp macro="" textlink="">
      <xdr:nvSpPr>
        <xdr:cNvPr id="4098" name="AutoShape 2"/>
        <xdr:cNvSpPr>
          <a:spLocks noChangeAspect="1" noChangeArrowheads="1"/>
        </xdr:cNvSpPr>
      </xdr:nvSpPr>
      <xdr:spPr bwMode="auto">
        <a:xfrm>
          <a:off x="0" y="0"/>
          <a:ext cx="5772150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4</xdr:col>
      <xdr:colOff>0</xdr:colOff>
      <xdr:row>3</xdr:row>
      <xdr:rowOff>95251</xdr:rowOff>
    </xdr:from>
    <xdr:to>
      <xdr:col>6</xdr:col>
      <xdr:colOff>190500</xdr:colOff>
      <xdr:row>14</xdr:row>
      <xdr:rowOff>203836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18</xdr:row>
      <xdr:rowOff>0</xdr:rowOff>
    </xdr:from>
    <xdr:to>
      <xdr:col>6</xdr:col>
      <xdr:colOff>238125</xdr:colOff>
      <xdr:row>29</xdr:row>
      <xdr:rowOff>108585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2</xdr:col>
      <xdr:colOff>683559</xdr:colOff>
      <xdr:row>14</xdr:row>
      <xdr:rowOff>108585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44824</xdr:colOff>
      <xdr:row>18</xdr:row>
      <xdr:rowOff>22412</xdr:rowOff>
    </xdr:from>
    <xdr:to>
      <xdr:col>2</xdr:col>
      <xdr:colOff>728383</xdr:colOff>
      <xdr:row>29</xdr:row>
      <xdr:rowOff>86173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28575</xdr:rowOff>
    </xdr:from>
    <xdr:to>
      <xdr:col>7</xdr:col>
      <xdr:colOff>457200</xdr:colOff>
      <xdr:row>18</xdr:row>
      <xdr:rowOff>28575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28575</xdr:rowOff>
    </xdr:from>
    <xdr:to>
      <xdr:col>7</xdr:col>
      <xdr:colOff>457200</xdr:colOff>
      <xdr:row>40</xdr:row>
      <xdr:rowOff>28575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38099</xdr:colOff>
      <xdr:row>2</xdr:row>
      <xdr:rowOff>38100</xdr:rowOff>
    </xdr:from>
    <xdr:to>
      <xdr:col>26</xdr:col>
      <xdr:colOff>9525</xdr:colOff>
      <xdr:row>17</xdr:row>
      <xdr:rowOff>142875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38099</xdr:colOff>
      <xdr:row>26</xdr:row>
      <xdr:rowOff>38100</xdr:rowOff>
    </xdr:from>
    <xdr:to>
      <xdr:col>26</xdr:col>
      <xdr:colOff>9525</xdr:colOff>
      <xdr:row>41</xdr:row>
      <xdr:rowOff>142875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5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76200</xdr:rowOff>
    </xdr:from>
    <xdr:to>
      <xdr:col>8</xdr:col>
      <xdr:colOff>133350</xdr:colOff>
      <xdr:row>15</xdr:row>
      <xdr:rowOff>85725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76200</xdr:rowOff>
    </xdr:from>
    <xdr:to>
      <xdr:col>8</xdr:col>
      <xdr:colOff>133350</xdr:colOff>
      <xdr:row>34</xdr:row>
      <xdr:rowOff>85725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581025</xdr:colOff>
      <xdr:row>2</xdr:row>
      <xdr:rowOff>57150</xdr:rowOff>
    </xdr:from>
    <xdr:to>
      <xdr:col>21</xdr:col>
      <xdr:colOff>190500</xdr:colOff>
      <xdr:row>15</xdr:row>
      <xdr:rowOff>66675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9525</xdr:colOff>
      <xdr:row>22</xdr:row>
      <xdr:rowOff>114300</xdr:rowOff>
    </xdr:from>
    <xdr:to>
      <xdr:col>21</xdr:col>
      <xdr:colOff>228600</xdr:colOff>
      <xdr:row>35</xdr:row>
      <xdr:rowOff>123825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5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28575</xdr:rowOff>
    </xdr:from>
    <xdr:to>
      <xdr:col>7</xdr:col>
      <xdr:colOff>0</xdr:colOff>
      <xdr:row>17</xdr:row>
      <xdr:rowOff>123825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57150</xdr:rowOff>
    </xdr:from>
    <xdr:to>
      <xdr:col>6</xdr:col>
      <xdr:colOff>457200</xdr:colOff>
      <xdr:row>38</xdr:row>
      <xdr:rowOff>104776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44</xdr:row>
      <xdr:rowOff>28575</xdr:rowOff>
    </xdr:from>
    <xdr:to>
      <xdr:col>7</xdr:col>
      <xdr:colOff>0</xdr:colOff>
      <xdr:row>57</xdr:row>
      <xdr:rowOff>123825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64</xdr:row>
      <xdr:rowOff>57150</xdr:rowOff>
    </xdr:from>
    <xdr:to>
      <xdr:col>6</xdr:col>
      <xdr:colOff>457200</xdr:colOff>
      <xdr:row>78</xdr:row>
      <xdr:rowOff>104776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67235</xdr:colOff>
      <xdr:row>0</xdr:row>
      <xdr:rowOff>89647</xdr:rowOff>
    </xdr:from>
    <xdr:to>
      <xdr:col>0</xdr:col>
      <xdr:colOff>829235</xdr:colOff>
      <xdr:row>2</xdr:row>
      <xdr:rowOff>13634</xdr:rowOff>
    </xdr:to>
    <xdr:sp macro="" textlink="">
      <xdr:nvSpPr>
        <xdr:cNvPr id="6" name="Zaoblený obdĺžnik 5">
          <a:hlinkClick xmlns:r="http://schemas.openxmlformats.org/officeDocument/2006/relationships" r:id="rId5"/>
        </xdr:cNvPr>
        <xdr:cNvSpPr/>
      </xdr:nvSpPr>
      <xdr:spPr>
        <a:xfrm>
          <a:off x="67235" y="89647"/>
          <a:ext cx="762000" cy="26016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0</xdr:row>
      <xdr:rowOff>254000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33337</xdr:rowOff>
    </xdr:from>
    <xdr:to>
      <xdr:col>5</xdr:col>
      <xdr:colOff>1</xdr:colOff>
      <xdr:row>15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</xdr:row>
      <xdr:rowOff>76200</xdr:rowOff>
    </xdr:from>
    <xdr:to>
      <xdr:col>7</xdr:col>
      <xdr:colOff>419100</xdr:colOff>
      <xdr:row>15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</xdr:row>
      <xdr:rowOff>95250</xdr:rowOff>
    </xdr:from>
    <xdr:to>
      <xdr:col>4</xdr:col>
      <xdr:colOff>857250</xdr:colOff>
      <xdr:row>33</xdr:row>
      <xdr:rowOff>95250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819151</xdr:colOff>
      <xdr:row>20</xdr:row>
      <xdr:rowOff>133350</xdr:rowOff>
    </xdr:from>
    <xdr:to>
      <xdr:col>7</xdr:col>
      <xdr:colOff>504826</xdr:colOff>
      <xdr:row>33</xdr:row>
      <xdr:rowOff>19050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44450</xdr:rowOff>
    </xdr:to>
    <xdr:sp macro="" textlink="">
      <xdr:nvSpPr>
        <xdr:cNvPr id="7" name="Zaoblený obdĺžnik 6">
          <a:hlinkClick xmlns:r="http://schemas.openxmlformats.org/officeDocument/2006/relationships" r:id="rId5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57150</xdr:rowOff>
    </xdr:from>
    <xdr:to>
      <xdr:col>7</xdr:col>
      <xdr:colOff>104775</xdr:colOff>
      <xdr:row>40</xdr:row>
      <xdr:rowOff>85725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</xdr:row>
      <xdr:rowOff>171450</xdr:rowOff>
    </xdr:from>
    <xdr:to>
      <xdr:col>7</xdr:col>
      <xdr:colOff>314325</xdr:colOff>
      <xdr:row>14</xdr:row>
      <xdr:rowOff>171450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57149</xdr:colOff>
      <xdr:row>16</xdr:row>
      <xdr:rowOff>95250</xdr:rowOff>
    </xdr:from>
    <xdr:to>
      <xdr:col>7</xdr:col>
      <xdr:colOff>161924</xdr:colOff>
      <xdr:row>27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0</xdr:row>
      <xdr:rowOff>76200</xdr:rowOff>
    </xdr:from>
    <xdr:to>
      <xdr:col>1</xdr:col>
      <xdr:colOff>171450</xdr:colOff>
      <xdr:row>1</xdr:row>
      <xdr:rowOff>139700</xdr:rowOff>
    </xdr:to>
    <xdr:sp macro="" textlink="">
      <xdr:nvSpPr>
        <xdr:cNvPr id="5" name="Zaoblený obdĺžnik 4">
          <a:hlinkClick xmlns:r="http://schemas.openxmlformats.org/officeDocument/2006/relationships" r:id="rId4"/>
        </xdr:cNvPr>
        <xdr:cNvSpPr/>
      </xdr:nvSpPr>
      <xdr:spPr>
        <a:xfrm>
          <a:off x="19050" y="762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762000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809625" cy="3683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4</xdr:col>
      <xdr:colOff>85725</xdr:colOff>
      <xdr:row>3</xdr:row>
      <xdr:rowOff>95250</xdr:rowOff>
    </xdr:from>
    <xdr:to>
      <xdr:col>6</xdr:col>
      <xdr:colOff>152400</xdr:colOff>
      <xdr:row>14</xdr:row>
      <xdr:rowOff>171450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18</xdr:row>
      <xdr:rowOff>28575</xdr:rowOff>
    </xdr:from>
    <xdr:to>
      <xdr:col>6</xdr:col>
      <xdr:colOff>66675</xdr:colOff>
      <xdr:row>29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109903</xdr:colOff>
      <xdr:row>3</xdr:row>
      <xdr:rowOff>29308</xdr:rowOff>
    </xdr:from>
    <xdr:to>
      <xdr:col>2</xdr:col>
      <xdr:colOff>661083</xdr:colOff>
      <xdr:row>14</xdr:row>
      <xdr:rowOff>92173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73269</xdr:colOff>
      <xdr:row>18</xdr:row>
      <xdr:rowOff>65943</xdr:rowOff>
    </xdr:from>
    <xdr:to>
      <xdr:col>2</xdr:col>
      <xdr:colOff>624449</xdr:colOff>
      <xdr:row>29</xdr:row>
      <xdr:rowOff>128808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0.20648</cdr:x>
      <cdr:y>0.26031</cdr:y>
    </cdr:from>
    <cdr:to>
      <cdr:x>0.42948</cdr:x>
      <cdr:y>0.48518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554095" y="551917"/>
          <a:ext cx="598430" cy="476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50" b="1" baseline="0">
              <a:solidFill>
                <a:srgbClr val="00B0F0"/>
              </a:solidFill>
              <a:latin typeface="Arial Narrow" panose="020B0606020202030204" pitchFamily="34" charset="0"/>
            </a:rPr>
            <a:t>marec 2008</a:t>
          </a:r>
        </a:p>
      </cdr:txBody>
    </cdr:sp>
  </cdr:relSizeAnchor>
  <cdr:relSizeAnchor xmlns:cdr="http://schemas.openxmlformats.org/drawingml/2006/chartDrawing">
    <cdr:from>
      <cdr:x>0.82121</cdr:x>
      <cdr:y>0.5914</cdr:y>
    </cdr:from>
    <cdr:to>
      <cdr:x>0.98087</cdr:x>
      <cdr:y>0.70968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4702969" y="1964532"/>
          <a:ext cx="914400" cy="392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0.78153</cdr:x>
      <cdr:y>0.62089</cdr:y>
    </cdr:from>
    <cdr:to>
      <cdr:x>0.91744</cdr:x>
      <cdr:y>0.73559</cdr:y>
    </cdr:to>
    <cdr:sp macro="" textlink="">
      <cdr:nvSpPr>
        <cdr:cNvPr id="5" name="BlokTextu 4"/>
        <cdr:cNvSpPr txBox="1"/>
      </cdr:nvSpPr>
      <cdr:spPr>
        <a:xfrm xmlns:a="http://schemas.openxmlformats.org/drawingml/2006/main">
          <a:off x="2097233" y="1316454"/>
          <a:ext cx="364716" cy="24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dec 2013</a:t>
          </a:r>
        </a:p>
      </cdr:txBody>
    </cdr:sp>
  </cdr:relSizeAnchor>
  <cdr:relSizeAnchor xmlns:cdr="http://schemas.openxmlformats.org/drawingml/2006/chartDrawing">
    <cdr:from>
      <cdr:x>0.81053</cdr:x>
      <cdr:y>0.76299</cdr:y>
    </cdr:from>
    <cdr:to>
      <cdr:x>1</cdr:x>
      <cdr:y>0.83553</cdr:y>
    </cdr:to>
    <cdr:sp macro="" textlink="">
      <cdr:nvSpPr>
        <cdr:cNvPr id="8" name="BlokTextu 1"/>
        <cdr:cNvSpPr txBox="1"/>
      </cdr:nvSpPr>
      <cdr:spPr>
        <a:xfrm xmlns:a="http://schemas.openxmlformats.org/drawingml/2006/main">
          <a:off x="2417642" y="1662575"/>
          <a:ext cx="565149" cy="158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dec 2012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0.45271</cdr:x>
      <cdr:y>0.27638</cdr:y>
    </cdr:from>
    <cdr:to>
      <cdr:x>0.61021</cdr:x>
      <cdr:y>0.34711</cdr:y>
    </cdr:to>
    <cdr:sp macro="" textlink="">
      <cdr:nvSpPr>
        <cdr:cNvPr id="12" name="BlokTextu 1"/>
        <cdr:cNvSpPr txBox="1"/>
      </cdr:nvSpPr>
      <cdr:spPr>
        <a:xfrm xmlns:a="http://schemas.openxmlformats.org/drawingml/2006/main">
          <a:off x="1350344" y="602233"/>
          <a:ext cx="469789" cy="154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dec 2015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0.66891</cdr:x>
      <cdr:y>0.55626</cdr:y>
    </cdr:from>
    <cdr:to>
      <cdr:x>0.80481</cdr:x>
      <cdr:y>0.67096</cdr:y>
    </cdr:to>
    <cdr:sp macro="" textlink="">
      <cdr:nvSpPr>
        <cdr:cNvPr id="10" name="BlokTextu 1"/>
        <cdr:cNvSpPr txBox="1"/>
      </cdr:nvSpPr>
      <cdr:spPr>
        <a:xfrm xmlns:a="http://schemas.openxmlformats.org/drawingml/2006/main">
          <a:off x="1795014" y="1179415"/>
          <a:ext cx="364715" cy="24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dec 2014</a:t>
          </a:r>
        </a:p>
      </cdr:txBody>
    </cdr:sp>
  </cdr:relSizeAnchor>
  <cdr:relSizeAnchor xmlns:cdr="http://schemas.openxmlformats.org/drawingml/2006/chartDrawing">
    <cdr:from>
      <cdr:x>0.27892</cdr:x>
      <cdr:y>0.12771</cdr:y>
    </cdr:from>
    <cdr:to>
      <cdr:x>0.43642</cdr:x>
      <cdr:y>0.19844</cdr:y>
    </cdr:to>
    <cdr:sp macro="" textlink="">
      <cdr:nvSpPr>
        <cdr:cNvPr id="14" name="BlokTextu 1"/>
        <cdr:cNvSpPr txBox="1"/>
      </cdr:nvSpPr>
      <cdr:spPr>
        <a:xfrm xmlns:a="http://schemas.openxmlformats.org/drawingml/2006/main">
          <a:off x="831972" y="278288"/>
          <a:ext cx="469790" cy="154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baseline="0">
              <a:solidFill>
                <a:schemeClr val="tx1"/>
              </a:solidFill>
              <a:latin typeface="Arial Narrow" panose="020B0606020202030204" pitchFamily="34" charset="0"/>
            </a:rPr>
            <a:t>dec</a:t>
          </a:r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  2016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0.1988</cdr:x>
      <cdr:y>0</cdr:y>
    </cdr:from>
    <cdr:to>
      <cdr:x>0.3563</cdr:x>
      <cdr:y>0.12441</cdr:y>
    </cdr:to>
    <cdr:sp macro="" textlink="">
      <cdr:nvSpPr>
        <cdr:cNvPr id="9" name="BlokTextu 1"/>
        <cdr:cNvSpPr txBox="1"/>
      </cdr:nvSpPr>
      <cdr:spPr>
        <a:xfrm xmlns:a="http://schemas.openxmlformats.org/drawingml/2006/main">
          <a:off x="592992" y="0"/>
          <a:ext cx="469790" cy="27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baseline="0">
              <a:solidFill>
                <a:schemeClr val="tx1"/>
              </a:solidFill>
              <a:latin typeface="Arial Narrow" panose="020B0606020202030204" pitchFamily="34" charset="0"/>
            </a:rPr>
            <a:t>jan</a:t>
          </a:r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  201</a:t>
          </a:r>
          <a:r>
            <a:rPr lang="en-US" sz="800" b="1" baseline="0">
              <a:solidFill>
                <a:schemeClr val="tx1"/>
              </a:solidFill>
              <a:latin typeface="Arial Narrow" panose="020B0606020202030204" pitchFamily="34" charset="0"/>
            </a:rPr>
            <a:t>7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ocuments%20and%20Settings\PANTOLIN\My%20Local%20Documents\Slovenia\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PANTOLIN\My%20Local%20Documents\Slovenia\Wages_employ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PANTOLIN\My%20Local%20Documents\Slovenia\Wages_employme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PANTOLIN\My%20Local%20Documents\Slovenia\Wages_employm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vlat\AppData\Local\Microsoft\Windows\Temporary%20Internet%20Files\Content.Outlook\RKZTYI1L\K&#352;D%2014_16erik_final_dlh_2013030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Users\mhavlat\AppData\Local\Microsoft\Windows\Temporary%20Internet%20Files\Content.Outlook\RKZTYI1L\K&#352;D%2014_16erik_final_dlh_2013030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Slovenia\SV%20MONITOR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Slovenia\SV%20MONITOR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CZE\REAL\CZYWP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AL\CZYWP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jko\AppData\Local\Microsoft\Windows\Temporary%20Internet%20Files\Content.Outlook\X5UMJ5BC\Annex_1-EDP_notif_tables-Oct2016-lock-anonym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WIN\Temporary%20Internet%20Files\OLKE156\Money\Monetary%20Conditions\mcichart_core_inf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WIN\Temporary%20Internet%20Files\OLKE156\Money\Monetary%20Conditions\mcichart_core_inf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Strukturalne_saldo_MODEL_DBP201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Strukturalne_saldo_MODEL_FK_maj_2016_22012016_preliminary_PJ_scenar%201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SVN\BOP\REER%20and%20competitiveness\Competitivenes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SVN\BOP\REER%20and%20competitiveness\Competitivenes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ocuments%20and%20Settings\lshoobridge\Local%20Settings\Temporary%20Internet%20Files\OLK10\Charts\Svk%20Charts%20Data%202005_curren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lshoobridge\Local%20Settings\Temporary%20Internet%20Files\OLK10\Charts\Svk%20Charts%20Data%202005_curren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CZE\REER\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CZE\FIS\M-T%20fiscal%20June10%20200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FIS\M-T%20fiscal%20June10%20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O2\MKD\REP\TABLES\red98\Mk-red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ER\REERTOT99%20revis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O2\MKD\REP\TABLES\red98\Mk-red9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O2\MKD\REP\TABLES\red98\Mk-red98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ocuments%20and%20Settings\dtzanninis\My%20Local%20Documents\Slovenia\CZE%20--%20Main%20Fiscal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C3\CZE\REER\REERTOT99%20revis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dtzanninis\My%20Local%20Documents\Slovenia\CZE%20--%20Main%20Fiscal%20Fil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</sheetNames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</sheetNames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</sheetNames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</sheetNames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</sheetNames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</sheetNames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</sheetNames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</sheetNames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</sheetNames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</sheetNames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</sheetNames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</sheetNames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</sheetNames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</sheetNames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</sheetNames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</sheetNames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9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8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1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1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0"/>
  <dimension ref="A1:R69"/>
  <sheetViews>
    <sheetView showGridLines="0" tabSelected="1" zoomScale="80" zoomScaleNormal="80" workbookViewId="0"/>
  </sheetViews>
  <sheetFormatPr defaultRowHeight="15.75" x14ac:dyDescent="0.25"/>
  <cols>
    <col min="1" max="1" width="7.5703125" style="803" customWidth="1"/>
    <col min="2" max="2" width="4.5703125" style="803" customWidth="1"/>
    <col min="3" max="3" width="24.28515625" style="803" customWidth="1"/>
    <col min="4" max="4" width="5.42578125" style="803" customWidth="1"/>
    <col min="5" max="5" width="20.5703125" style="803" customWidth="1"/>
    <col min="6" max="6" width="5.140625" style="803" customWidth="1"/>
    <col min="7" max="7" width="21.5703125" style="803" customWidth="1"/>
    <col min="8" max="8" width="5.140625" style="803" customWidth="1"/>
    <col min="9" max="9" width="24.28515625" style="803" customWidth="1"/>
    <col min="10" max="11" width="9.140625" style="803"/>
    <col min="12" max="12" width="17.42578125" style="803" bestFit="1" customWidth="1"/>
    <col min="13" max="13" width="9.140625" style="803"/>
    <col min="14" max="14" width="19.85546875" style="803" bestFit="1" customWidth="1"/>
    <col min="15" max="15" width="9.140625" style="803"/>
    <col min="16" max="16" width="17.28515625" style="803" bestFit="1" customWidth="1"/>
    <col min="17" max="17" width="9.140625" style="803"/>
    <col min="18" max="18" width="28.140625" style="803" bestFit="1" customWidth="1"/>
    <col min="19" max="16384" width="9.140625" style="803"/>
  </cols>
  <sheetData>
    <row r="1" spans="1:18" ht="19.5" customHeight="1" x14ac:dyDescent="0.25"/>
    <row r="2" spans="1:18" ht="14.1" customHeight="1" x14ac:dyDescent="0.25"/>
    <row r="3" spans="1:18" ht="14.1" customHeight="1" x14ac:dyDescent="0.25"/>
    <row r="4" spans="1:18" ht="18.75" customHeight="1" x14ac:dyDescent="0.3">
      <c r="A4" s="804"/>
      <c r="B4" s="845" t="s">
        <v>608</v>
      </c>
      <c r="C4" s="805"/>
      <c r="D4" s="805"/>
      <c r="E4" s="805"/>
      <c r="F4" s="805"/>
      <c r="G4" s="805"/>
      <c r="K4" s="845" t="s">
        <v>1728</v>
      </c>
      <c r="L4" s="805"/>
      <c r="M4" s="805"/>
      <c r="N4" s="805"/>
      <c r="O4" s="805"/>
      <c r="P4" s="805"/>
    </row>
    <row r="5" spans="1:18" ht="16.5" customHeight="1" thickBot="1" x14ac:dyDescent="0.3"/>
    <row r="6" spans="1:18" ht="16.5" customHeight="1" thickBot="1" x14ac:dyDescent="0.3">
      <c r="B6" s="806"/>
      <c r="C6" s="807" t="s">
        <v>138</v>
      </c>
      <c r="D6" s="808">
        <v>20</v>
      </c>
      <c r="E6" s="809" t="s">
        <v>1448</v>
      </c>
      <c r="F6" s="810"/>
      <c r="G6" s="807" t="s">
        <v>141</v>
      </c>
      <c r="K6" s="806"/>
      <c r="L6" s="807" t="s">
        <v>1773</v>
      </c>
      <c r="M6" s="808">
        <v>20</v>
      </c>
      <c r="N6" s="809" t="s">
        <v>1729</v>
      </c>
      <c r="O6" s="810"/>
      <c r="P6" s="807" t="s">
        <v>1767</v>
      </c>
    </row>
    <row r="7" spans="1:18" ht="16.5" customHeight="1" thickBot="1" x14ac:dyDescent="0.3">
      <c r="B7" s="808">
        <v>1</v>
      </c>
      <c r="C7" s="809" t="s">
        <v>1430</v>
      </c>
      <c r="D7" s="808">
        <v>21</v>
      </c>
      <c r="E7" s="809" t="s">
        <v>1449</v>
      </c>
      <c r="F7" s="808">
        <v>42</v>
      </c>
      <c r="G7" s="809" t="s">
        <v>1469</v>
      </c>
      <c r="H7" s="808">
        <v>61</v>
      </c>
      <c r="I7" s="809" t="s">
        <v>1590</v>
      </c>
      <c r="K7" s="808">
        <v>1</v>
      </c>
      <c r="L7" s="809" t="s">
        <v>1730</v>
      </c>
      <c r="M7" s="808">
        <v>21</v>
      </c>
      <c r="N7" s="809" t="s">
        <v>1731</v>
      </c>
      <c r="O7" s="808">
        <v>42</v>
      </c>
      <c r="P7" s="809" t="s">
        <v>1469</v>
      </c>
      <c r="Q7" s="808">
        <v>61</v>
      </c>
      <c r="R7" s="809" t="s">
        <v>1590</v>
      </c>
    </row>
    <row r="8" spans="1:18" ht="16.5" customHeight="1" thickBot="1" x14ac:dyDescent="0.3">
      <c r="B8" s="811"/>
      <c r="C8" s="807" t="s">
        <v>139</v>
      </c>
      <c r="D8" s="808">
        <v>22</v>
      </c>
      <c r="E8" s="809" t="s">
        <v>1450</v>
      </c>
      <c r="F8" s="808">
        <v>43</v>
      </c>
      <c r="G8" s="809" t="s">
        <v>1470</v>
      </c>
      <c r="H8" s="808">
        <v>62</v>
      </c>
      <c r="I8" s="809" t="s">
        <v>1487</v>
      </c>
      <c r="K8" s="811"/>
      <c r="L8" s="807" t="s">
        <v>1768</v>
      </c>
      <c r="M8" s="808">
        <v>22</v>
      </c>
      <c r="N8" s="809" t="s">
        <v>1732</v>
      </c>
      <c r="O8" s="808">
        <v>43</v>
      </c>
      <c r="P8" s="809" t="s">
        <v>1470</v>
      </c>
      <c r="Q8" s="808">
        <v>62</v>
      </c>
      <c r="R8" s="809" t="s">
        <v>1733</v>
      </c>
    </row>
    <row r="9" spans="1:18" ht="16.5" customHeight="1" thickBot="1" x14ac:dyDescent="0.3">
      <c r="B9" s="808">
        <v>2</v>
      </c>
      <c r="C9" s="809" t="s">
        <v>1431</v>
      </c>
      <c r="D9" s="808">
        <v>23</v>
      </c>
      <c r="E9" s="809" t="s">
        <v>1451</v>
      </c>
      <c r="F9" s="808">
        <v>44</v>
      </c>
      <c r="G9" s="809" t="s">
        <v>1471</v>
      </c>
      <c r="H9" s="810"/>
      <c r="I9" s="807" t="s">
        <v>1489</v>
      </c>
      <c r="K9" s="808">
        <v>2</v>
      </c>
      <c r="L9" s="809" t="s">
        <v>1431</v>
      </c>
      <c r="M9" s="808">
        <v>23</v>
      </c>
      <c r="N9" s="809" t="s">
        <v>1734</v>
      </c>
      <c r="O9" s="808">
        <v>44</v>
      </c>
      <c r="P9" s="809" t="s">
        <v>1735</v>
      </c>
      <c r="Q9" s="810"/>
      <c r="R9" s="807" t="s">
        <v>1769</v>
      </c>
    </row>
    <row r="10" spans="1:18" ht="16.5" customHeight="1" thickBot="1" x14ac:dyDescent="0.3">
      <c r="B10" s="808">
        <v>3</v>
      </c>
      <c r="C10" s="809" t="s">
        <v>1432</v>
      </c>
      <c r="D10" s="808">
        <v>24</v>
      </c>
      <c r="E10" s="809" t="s">
        <v>1452</v>
      </c>
      <c r="F10" s="808">
        <v>45</v>
      </c>
      <c r="G10" s="809" t="s">
        <v>1472</v>
      </c>
      <c r="H10" s="808">
        <v>63</v>
      </c>
      <c r="I10" s="809" t="s">
        <v>1488</v>
      </c>
      <c r="K10" s="808">
        <v>3</v>
      </c>
      <c r="L10" s="809" t="s">
        <v>1736</v>
      </c>
      <c r="M10" s="808">
        <v>24</v>
      </c>
      <c r="N10" s="809" t="s">
        <v>1452</v>
      </c>
      <c r="O10" s="808">
        <v>45</v>
      </c>
      <c r="P10" s="809" t="s">
        <v>1472</v>
      </c>
      <c r="Q10" s="808">
        <v>63</v>
      </c>
      <c r="R10" s="809" t="s">
        <v>1737</v>
      </c>
    </row>
    <row r="11" spans="1:18" ht="16.5" customHeight="1" thickBot="1" x14ac:dyDescent="0.3">
      <c r="B11" s="808">
        <v>4</v>
      </c>
      <c r="C11" s="809" t="s">
        <v>1433</v>
      </c>
      <c r="D11" s="808">
        <v>25</v>
      </c>
      <c r="E11" s="809" t="s">
        <v>1453</v>
      </c>
      <c r="F11" s="808">
        <v>46</v>
      </c>
      <c r="G11" s="809" t="s">
        <v>1473</v>
      </c>
      <c r="H11" s="810"/>
      <c r="I11" s="807" t="s">
        <v>1490</v>
      </c>
      <c r="K11" s="808">
        <v>4</v>
      </c>
      <c r="L11" s="809" t="s">
        <v>1738</v>
      </c>
      <c r="M11" s="808">
        <v>25</v>
      </c>
      <c r="N11" s="809" t="s">
        <v>1453</v>
      </c>
      <c r="O11" s="808">
        <v>46</v>
      </c>
      <c r="P11" s="809" t="s">
        <v>1473</v>
      </c>
      <c r="Q11" s="810"/>
      <c r="R11" s="807" t="s">
        <v>1490</v>
      </c>
    </row>
    <row r="12" spans="1:18" ht="16.5" customHeight="1" thickBot="1" x14ac:dyDescent="0.3">
      <c r="B12" s="808">
        <v>5</v>
      </c>
      <c r="C12" s="809" t="s">
        <v>1434</v>
      </c>
      <c r="D12" s="808">
        <v>26</v>
      </c>
      <c r="E12" s="809" t="s">
        <v>1454</v>
      </c>
      <c r="F12" s="810"/>
      <c r="G12" s="807" t="s">
        <v>142</v>
      </c>
      <c r="H12" s="808">
        <v>64</v>
      </c>
      <c r="I12" s="809" t="s">
        <v>1623</v>
      </c>
      <c r="K12" s="808">
        <v>5</v>
      </c>
      <c r="L12" s="809" t="s">
        <v>1739</v>
      </c>
      <c r="M12" s="808">
        <v>26</v>
      </c>
      <c r="N12" s="809" t="s">
        <v>1454</v>
      </c>
      <c r="O12" s="810"/>
      <c r="P12" s="807" t="s">
        <v>1770</v>
      </c>
      <c r="Q12" s="808">
        <v>64</v>
      </c>
      <c r="R12" s="809" t="s">
        <v>1812</v>
      </c>
    </row>
    <row r="13" spans="1:18" ht="16.5" customHeight="1" thickBot="1" x14ac:dyDescent="0.3">
      <c r="B13" s="808">
        <v>6</v>
      </c>
      <c r="C13" s="809" t="s">
        <v>1435</v>
      </c>
      <c r="D13" s="808">
        <v>27</v>
      </c>
      <c r="E13" s="809" t="s">
        <v>1455</v>
      </c>
      <c r="F13" s="808">
        <v>47</v>
      </c>
      <c r="G13" s="809" t="s">
        <v>1474</v>
      </c>
      <c r="H13" s="808">
        <v>65</v>
      </c>
      <c r="I13" s="809" t="s">
        <v>1622</v>
      </c>
      <c r="K13" s="808">
        <v>6</v>
      </c>
      <c r="L13" s="809" t="s">
        <v>1740</v>
      </c>
      <c r="M13" s="808">
        <v>27</v>
      </c>
      <c r="N13" s="809" t="s">
        <v>1455</v>
      </c>
      <c r="O13" s="808">
        <v>47</v>
      </c>
      <c r="P13" s="809" t="s">
        <v>1474</v>
      </c>
      <c r="Q13" s="808">
        <v>65</v>
      </c>
      <c r="R13" s="809" t="s">
        <v>1774</v>
      </c>
    </row>
    <row r="14" spans="1:18" ht="16.5" customHeight="1" thickBot="1" x14ac:dyDescent="0.3">
      <c r="B14" s="808">
        <v>7</v>
      </c>
      <c r="C14" s="809" t="s">
        <v>1436</v>
      </c>
      <c r="D14" s="808">
        <v>28</v>
      </c>
      <c r="E14" s="809" t="s">
        <v>1456</v>
      </c>
      <c r="F14" s="808">
        <v>48</v>
      </c>
      <c r="G14" s="809" t="s">
        <v>1475</v>
      </c>
      <c r="K14" s="808">
        <v>7</v>
      </c>
      <c r="L14" s="809" t="s">
        <v>1741</v>
      </c>
      <c r="M14" s="808">
        <v>28</v>
      </c>
      <c r="N14" s="809" t="s">
        <v>1456</v>
      </c>
      <c r="O14" s="808">
        <v>48</v>
      </c>
      <c r="P14" s="809" t="s">
        <v>1742</v>
      </c>
    </row>
    <row r="15" spans="1:18" ht="16.5" customHeight="1" thickBot="1" x14ac:dyDescent="0.3">
      <c r="B15" s="808">
        <v>8</v>
      </c>
      <c r="C15" s="809" t="s">
        <v>1437</v>
      </c>
      <c r="D15" s="808">
        <v>29</v>
      </c>
      <c r="E15" s="809" t="s">
        <v>1457</v>
      </c>
      <c r="F15" s="808">
        <v>49</v>
      </c>
      <c r="G15" s="809" t="s">
        <v>1476</v>
      </c>
      <c r="K15" s="808">
        <v>8</v>
      </c>
      <c r="L15" s="809" t="s">
        <v>1437</v>
      </c>
      <c r="M15" s="808">
        <v>29</v>
      </c>
      <c r="N15" s="809" t="s">
        <v>1457</v>
      </c>
      <c r="O15" s="808">
        <v>49</v>
      </c>
      <c r="P15" s="809" t="s">
        <v>1476</v>
      </c>
    </row>
    <row r="16" spans="1:18" ht="16.5" customHeight="1" thickBot="1" x14ac:dyDescent="0.3">
      <c r="B16" s="808">
        <v>9</v>
      </c>
      <c r="C16" s="809" t="s">
        <v>1438</v>
      </c>
      <c r="D16" s="808">
        <v>30</v>
      </c>
      <c r="E16" s="809" t="s">
        <v>1555</v>
      </c>
      <c r="F16" s="808">
        <v>50</v>
      </c>
      <c r="G16" s="809" t="s">
        <v>1589</v>
      </c>
      <c r="K16" s="808">
        <v>9</v>
      </c>
      <c r="L16" s="809" t="s">
        <v>1438</v>
      </c>
      <c r="M16" s="808">
        <v>30</v>
      </c>
      <c r="N16" s="809" t="s">
        <v>1555</v>
      </c>
      <c r="O16" s="808">
        <v>50</v>
      </c>
      <c r="P16" s="809" t="s">
        <v>1589</v>
      </c>
    </row>
    <row r="17" spans="2:16" ht="16.5" customHeight="1" thickBot="1" x14ac:dyDescent="0.3">
      <c r="B17" s="808">
        <v>10</v>
      </c>
      <c r="C17" s="809" t="s">
        <v>1439</v>
      </c>
      <c r="D17" s="808">
        <v>31</v>
      </c>
      <c r="E17" s="809" t="s">
        <v>1458</v>
      </c>
      <c r="F17" s="810"/>
      <c r="G17" s="807" t="s">
        <v>143</v>
      </c>
      <c r="K17" s="808">
        <v>10</v>
      </c>
      <c r="L17" s="809" t="s">
        <v>1439</v>
      </c>
      <c r="M17" s="808">
        <v>31</v>
      </c>
      <c r="N17" s="809" t="s">
        <v>1743</v>
      </c>
      <c r="O17" s="810"/>
      <c r="P17" s="807" t="s">
        <v>1771</v>
      </c>
    </row>
    <row r="18" spans="2:16" ht="16.5" customHeight="1" thickBot="1" x14ac:dyDescent="0.3">
      <c r="B18" s="808">
        <v>11</v>
      </c>
      <c r="C18" s="809" t="s">
        <v>1440</v>
      </c>
      <c r="D18" s="808">
        <v>32</v>
      </c>
      <c r="E18" s="809" t="s">
        <v>1459</v>
      </c>
      <c r="F18" s="808">
        <v>51</v>
      </c>
      <c r="G18" s="809" t="s">
        <v>1477</v>
      </c>
      <c r="K18" s="808">
        <v>11</v>
      </c>
      <c r="L18" s="809" t="s">
        <v>1744</v>
      </c>
      <c r="M18" s="808">
        <v>32</v>
      </c>
      <c r="N18" s="809" t="s">
        <v>1459</v>
      </c>
      <c r="O18" s="808">
        <v>51</v>
      </c>
      <c r="P18" s="809" t="s">
        <v>1745</v>
      </c>
    </row>
    <row r="19" spans="2:16" ht="16.5" customHeight="1" thickBot="1" x14ac:dyDescent="0.3">
      <c r="B19" s="808">
        <v>12</v>
      </c>
      <c r="C19" s="809" t="s">
        <v>1441</v>
      </c>
      <c r="D19" s="808">
        <v>33</v>
      </c>
      <c r="E19" s="809" t="s">
        <v>1460</v>
      </c>
      <c r="F19" s="808">
        <v>52</v>
      </c>
      <c r="G19" s="809" t="s">
        <v>1478</v>
      </c>
      <c r="K19" s="808">
        <v>12</v>
      </c>
      <c r="L19" s="809" t="s">
        <v>1746</v>
      </c>
      <c r="M19" s="808">
        <v>33</v>
      </c>
      <c r="N19" s="809" t="s">
        <v>1747</v>
      </c>
      <c r="O19" s="808">
        <v>52</v>
      </c>
      <c r="P19" s="809" t="s">
        <v>1748</v>
      </c>
    </row>
    <row r="20" spans="2:16" ht="16.5" customHeight="1" thickBot="1" x14ac:dyDescent="0.3">
      <c r="B20" s="808">
        <v>13</v>
      </c>
      <c r="C20" s="809" t="s">
        <v>1442</v>
      </c>
      <c r="D20" s="808">
        <v>34</v>
      </c>
      <c r="E20" s="809" t="s">
        <v>1461</v>
      </c>
      <c r="F20" s="808">
        <v>53</v>
      </c>
      <c r="G20" s="809" t="s">
        <v>1479</v>
      </c>
      <c r="K20" s="808">
        <v>13</v>
      </c>
      <c r="L20" s="809" t="s">
        <v>1749</v>
      </c>
      <c r="M20" s="808">
        <v>34</v>
      </c>
      <c r="N20" s="809" t="s">
        <v>1750</v>
      </c>
      <c r="O20" s="808">
        <v>53</v>
      </c>
      <c r="P20" s="809" t="s">
        <v>1751</v>
      </c>
    </row>
    <row r="21" spans="2:16" ht="16.5" customHeight="1" thickBot="1" x14ac:dyDescent="0.3">
      <c r="B21" s="808">
        <v>14</v>
      </c>
      <c r="C21" s="809" t="s">
        <v>1443</v>
      </c>
      <c r="D21" s="808">
        <v>35</v>
      </c>
      <c r="E21" s="809" t="s">
        <v>1462</v>
      </c>
      <c r="F21" s="808">
        <v>54</v>
      </c>
      <c r="G21" s="809" t="s">
        <v>1480</v>
      </c>
      <c r="K21" s="808">
        <v>14</v>
      </c>
      <c r="L21" s="809" t="s">
        <v>1752</v>
      </c>
      <c r="M21" s="808">
        <v>35</v>
      </c>
      <c r="N21" s="809" t="s">
        <v>1462</v>
      </c>
      <c r="O21" s="808">
        <v>54</v>
      </c>
      <c r="P21" s="809" t="s">
        <v>1753</v>
      </c>
    </row>
    <row r="22" spans="2:16" ht="16.5" customHeight="1" thickBot="1" x14ac:dyDescent="0.3">
      <c r="B22" s="808">
        <v>15</v>
      </c>
      <c r="C22" s="809" t="s">
        <v>1444</v>
      </c>
      <c r="D22" s="808">
        <v>36</v>
      </c>
      <c r="E22" s="809" t="s">
        <v>1463</v>
      </c>
      <c r="F22" s="808">
        <v>55</v>
      </c>
      <c r="G22" s="809" t="s">
        <v>1481</v>
      </c>
      <c r="K22" s="808">
        <v>15</v>
      </c>
      <c r="L22" s="809" t="s">
        <v>1754</v>
      </c>
      <c r="M22" s="808">
        <v>36</v>
      </c>
      <c r="N22" s="809" t="s">
        <v>1463</v>
      </c>
      <c r="O22" s="808">
        <v>55</v>
      </c>
      <c r="P22" s="809" t="s">
        <v>1755</v>
      </c>
    </row>
    <row r="23" spans="2:16" ht="16.5" customHeight="1" thickBot="1" x14ac:dyDescent="0.3">
      <c r="B23" s="808">
        <v>16</v>
      </c>
      <c r="C23" s="809" t="s">
        <v>1445</v>
      </c>
      <c r="D23" s="808">
        <v>37</v>
      </c>
      <c r="E23" s="809" t="s">
        <v>1464</v>
      </c>
      <c r="F23" s="808">
        <v>56</v>
      </c>
      <c r="G23" s="809" t="s">
        <v>1482</v>
      </c>
      <c r="K23" s="808">
        <v>16</v>
      </c>
      <c r="L23" s="809" t="s">
        <v>1756</v>
      </c>
      <c r="M23" s="808">
        <v>37</v>
      </c>
      <c r="N23" s="809" t="s">
        <v>1757</v>
      </c>
      <c r="O23" s="808">
        <v>56</v>
      </c>
      <c r="P23" s="809" t="s">
        <v>1758</v>
      </c>
    </row>
    <row r="24" spans="2:16" ht="16.5" customHeight="1" thickBot="1" x14ac:dyDescent="0.3">
      <c r="B24" s="808">
        <v>17</v>
      </c>
      <c r="C24" s="809" t="s">
        <v>1446</v>
      </c>
      <c r="D24" s="808">
        <v>38</v>
      </c>
      <c r="E24" s="809" t="s">
        <v>1465</v>
      </c>
      <c r="F24" s="808">
        <v>57</v>
      </c>
      <c r="G24" s="809" t="s">
        <v>1483</v>
      </c>
      <c r="K24" s="808">
        <v>17</v>
      </c>
      <c r="L24" s="809" t="s">
        <v>1759</v>
      </c>
      <c r="M24" s="808">
        <v>38</v>
      </c>
      <c r="N24" s="809" t="s">
        <v>1465</v>
      </c>
      <c r="O24" s="808">
        <v>57</v>
      </c>
      <c r="P24" s="809" t="s">
        <v>1760</v>
      </c>
    </row>
    <row r="25" spans="2:16" ht="16.5" customHeight="1" thickBot="1" x14ac:dyDescent="0.3">
      <c r="B25" s="808">
        <v>18</v>
      </c>
      <c r="C25" s="809" t="s">
        <v>1447</v>
      </c>
      <c r="D25" s="808">
        <v>39</v>
      </c>
      <c r="E25" s="809" t="s">
        <v>1466</v>
      </c>
      <c r="F25" s="808">
        <v>58</v>
      </c>
      <c r="G25" s="809" t="s">
        <v>1484</v>
      </c>
      <c r="K25" s="808">
        <v>18</v>
      </c>
      <c r="L25" s="809" t="s">
        <v>1447</v>
      </c>
      <c r="M25" s="808">
        <v>39</v>
      </c>
      <c r="N25" s="809" t="s">
        <v>1761</v>
      </c>
      <c r="O25" s="808">
        <v>58</v>
      </c>
      <c r="P25" s="809" t="s">
        <v>1762</v>
      </c>
    </row>
    <row r="26" spans="2:16" ht="16.5" customHeight="1" thickBot="1" x14ac:dyDescent="0.3">
      <c r="B26" s="810"/>
      <c r="C26" s="807" t="s">
        <v>140</v>
      </c>
      <c r="D26" s="808">
        <v>40</v>
      </c>
      <c r="E26" s="809" t="s">
        <v>1467</v>
      </c>
      <c r="F26" s="808">
        <v>59</v>
      </c>
      <c r="G26" s="809" t="s">
        <v>1485</v>
      </c>
      <c r="K26" s="810"/>
      <c r="L26" s="807" t="s">
        <v>1772</v>
      </c>
      <c r="M26" s="808">
        <v>40</v>
      </c>
      <c r="N26" s="809" t="s">
        <v>1763</v>
      </c>
      <c r="O26" s="808">
        <v>59</v>
      </c>
      <c r="P26" s="809" t="s">
        <v>1764</v>
      </c>
    </row>
    <row r="27" spans="2:16" ht="16.5" customHeight="1" thickBot="1" x14ac:dyDescent="0.3">
      <c r="B27" s="808">
        <v>19</v>
      </c>
      <c r="C27" s="809" t="s">
        <v>1621</v>
      </c>
      <c r="D27" s="808">
        <v>41</v>
      </c>
      <c r="E27" s="809" t="s">
        <v>1468</v>
      </c>
      <c r="F27" s="808">
        <v>60</v>
      </c>
      <c r="G27" s="809" t="s">
        <v>1486</v>
      </c>
      <c r="K27" s="808">
        <v>19</v>
      </c>
      <c r="L27" s="809" t="s">
        <v>1775</v>
      </c>
      <c r="M27" s="808">
        <v>41</v>
      </c>
      <c r="N27" s="809" t="s">
        <v>1765</v>
      </c>
      <c r="O27" s="808">
        <v>60</v>
      </c>
      <c r="P27" s="809" t="s">
        <v>1766</v>
      </c>
    </row>
    <row r="29" spans="2:16" ht="14.1" customHeight="1" x14ac:dyDescent="0.25"/>
    <row r="31" spans="2:16" ht="14.1" customHeight="1" x14ac:dyDescent="0.25"/>
    <row r="32" spans="2:16" ht="14.1" customHeight="1" x14ac:dyDescent="0.25"/>
    <row r="33" ht="14.1" customHeight="1" x14ac:dyDescent="0.25"/>
    <row r="35" ht="14.1" customHeight="1" x14ac:dyDescent="0.25"/>
    <row r="36" ht="14.1" customHeight="1" x14ac:dyDescent="0.25"/>
    <row r="37" ht="14.1" customHeight="1" x14ac:dyDescent="0.25"/>
    <row r="38" ht="14.1" customHeight="1" x14ac:dyDescent="0.25"/>
    <row r="39" ht="14.1" customHeight="1" x14ac:dyDescent="0.25"/>
    <row r="40" ht="14.1" customHeight="1" x14ac:dyDescent="0.25"/>
    <row r="41" ht="14.1" customHeight="1" x14ac:dyDescent="0.25"/>
    <row r="42" ht="14.1" customHeight="1" x14ac:dyDescent="0.25"/>
    <row r="43" ht="14.1" customHeight="1" x14ac:dyDescent="0.25"/>
    <row r="44" ht="14.1" customHeight="1" x14ac:dyDescent="0.25"/>
    <row r="45" ht="14.1" customHeight="1" x14ac:dyDescent="0.25"/>
    <row r="46" ht="14.1" customHeight="1" x14ac:dyDescent="0.25"/>
    <row r="47" ht="14.1" customHeight="1" x14ac:dyDescent="0.25"/>
    <row r="48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1.25" customHeight="1" x14ac:dyDescent="0.25"/>
    <row r="55" ht="11.25" customHeight="1" x14ac:dyDescent="0.25"/>
    <row r="56" ht="11.25" customHeight="1" x14ac:dyDescent="0.25"/>
    <row r="57" ht="11.25" customHeight="1" x14ac:dyDescent="0.25"/>
    <row r="58" ht="11.25" customHeight="1" x14ac:dyDescent="0.25"/>
    <row r="59" ht="11.25" customHeight="1" x14ac:dyDescent="0.25"/>
    <row r="60" ht="11.25" customHeight="1" x14ac:dyDescent="0.25"/>
    <row r="61" ht="11.25" customHeight="1" x14ac:dyDescent="0.25"/>
    <row r="62" ht="11.25" customHeight="1" x14ac:dyDescent="0.25"/>
    <row r="63" ht="11.25" customHeight="1" x14ac:dyDescent="0.25"/>
    <row r="64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</sheetData>
  <hyperlinks>
    <hyperlink ref="C7" location="'Graf 1 + 2'!A1" display="Graf 1 + 2"/>
    <hyperlink ref="C9" location="'Tab 1 '!A1" display="Tab 1 "/>
    <hyperlink ref="C10" location="'Graf 3+4'!A1" display="Graf 3+4"/>
    <hyperlink ref="C11" location="'Graf 5+6'!A1" display="Graf 5+6"/>
    <hyperlink ref="C12" location="'Grafy 7 a 8'!A1" display="Grafy 7 a 8"/>
    <hyperlink ref="C13" location="'Graf 8,9,10 '!A1" display="Graf 8,9,10 "/>
    <hyperlink ref="C14" location="'Graf 11+12 '!A1" display="Graf 11+12 "/>
    <hyperlink ref="C15" location="'Tab 2 '!A1" display="Tab 2 "/>
    <hyperlink ref="C16" location="'Tab 3 '!A1" display="Tab 3 "/>
    <hyperlink ref="C17" location="'Tab 4 '!A1" display="Tab 4 "/>
    <hyperlink ref="C18" location="'Graf 13 + Tab 5 '!A1" display="Graf 13 + Tab 5 "/>
    <hyperlink ref="C19" location="'Graf 14 + 15 '!A1" display="Graf 14 + 15 "/>
    <hyperlink ref="C20" location="'Graf 16 + 17 '!A1" display="Graf 16 + 17 "/>
    <hyperlink ref="C21" location="'Graf 18 + Tab 6'!A1" display="Graf 18 + Tab 6"/>
    <hyperlink ref="C22" location="'Graf 19 + Tab 7'!A1" display="Graf 19 + Tab 7"/>
    <hyperlink ref="C23" location="'Graf 20 + Tab 8 '!A1" display="Graf 20 + Tab 8 "/>
    <hyperlink ref="C24" location="'Graf 21  + Tab 9 '!A1" display="Graf 21  + Tab 9 "/>
    <hyperlink ref="C25" location="'Tab 10'!A1" display="Tab 10"/>
    <hyperlink ref="C27" location="ESA2010_source!A1" display="ESA 2010 Tabuľka"/>
    <hyperlink ref="E6" location="'Graf 22 + 23 '!A1" display="Graf 22 + 23 "/>
    <hyperlink ref="E7" location="'Graf 24'!A1" display="Graf 24"/>
    <hyperlink ref="E8" location="'Graf 25 + 26'!A1" display="Graf 25 + 26"/>
    <hyperlink ref="E9" location="'Graf 27'!A1" display="Graf 27"/>
    <hyperlink ref="E10" location="'Tab 11'!A1" display="Tab 11"/>
    <hyperlink ref="E11" location="'Tab 12'!A1" display="Tab 12"/>
    <hyperlink ref="E12" location="'Tab 13 '!A1" display="Tab 13 "/>
    <hyperlink ref="E13" location="'Tab 14 '!A1" display="Tab 14 "/>
    <hyperlink ref="E14" location="'Tab 15 '!A1" display="Tab 15 "/>
    <hyperlink ref="E15" location="'Tab 16 '!A1" display="Tab 16 "/>
    <hyperlink ref="E16" location="'Tab 17 '!A1" display="Tab 17"/>
    <hyperlink ref="E17" location="'Graf 28 + 29 '!A1" display="Graf 28 + 29 "/>
    <hyperlink ref="E18" location="'Tab 18 '!A1" display="Tab 18 "/>
    <hyperlink ref="E19" location="'Graf 30 + 31; tab 19'!A1" display="Graf 30 + 31; tab 19"/>
    <hyperlink ref="E20" location="'Graf 32 '!A1" display="Graf 32 "/>
    <hyperlink ref="E21" location="'Tab 20 '!A1" display="Tab 20 "/>
    <hyperlink ref="E22" location="'Tab 21 '!A1" display="Tab 21 "/>
    <hyperlink ref="E23" location="'Graf 33 '!A1" display="Graf 33 "/>
    <hyperlink ref="E24" location="'Tab 22'!A1" display="Tab 22"/>
    <hyperlink ref="E25" location="'Graf 34 '!A1" display="Graf 34 "/>
    <hyperlink ref="E26" location="'Graf  35 '!A1" display="Graf  35 "/>
    <hyperlink ref="E27" location="'Graf 36 '!A1" display="Graf 36 "/>
    <hyperlink ref="G7" location="'Tab 23 '!A1" display="Tab 23 "/>
    <hyperlink ref="G8" location="'Tab 24 '!A1" display="Tab 24 "/>
    <hyperlink ref="G9" location="'Graf 37 + Tab 25'!A1" display="Graf 37 + Tab 25"/>
    <hyperlink ref="G10" location="'Tab 26 '!A1" display="Tab 26 "/>
    <hyperlink ref="G11" location="'Tab 27 '!A1" display="Tab 27 "/>
    <hyperlink ref="G13" location="'Tab 28 + 29'!A1" display="Tab 28 + 29"/>
    <hyperlink ref="G14" location="'Graf 38 + 39'!A1" display="Graf 38 + 39"/>
    <hyperlink ref="G15" location="'Tab 30'!A1" display="Tab 30"/>
    <hyperlink ref="G16" location="'Tab 31'!_Toc449430181" display="Tab S1 S2"/>
    <hyperlink ref="G18" location="'Graf 40'!A1" display="Graf 40"/>
    <hyperlink ref="G19" location="'Graf 41'!A1" display="Graf 41"/>
    <hyperlink ref="G20" location="'Graf 42'!A1" display="Graf 42"/>
    <hyperlink ref="G21" location="'Graf 43'!A1" display="Graf 43"/>
    <hyperlink ref="G22" location="'Graf 44 + 45'!A1" display="Graf 44 + 45"/>
    <hyperlink ref="G23" location="'Graf 46 + 47'!A1" display="Graf 46 + 47"/>
    <hyperlink ref="G24" location="'Graf 48 + 49'!A1" display="Graf 48 + 49"/>
    <hyperlink ref="G25" location="'Graf 50 + 51'!A1" display="Graf 50 + 51"/>
    <hyperlink ref="G26" location="'Graf 52 + 53'!A1" display="Graf 52 + 53"/>
    <hyperlink ref="G27" location="'Graf 54 +55'!A1" display="Graf 54 +55"/>
    <hyperlink ref="I7" location="'Tab 32'!_Toc432509118" display="Tab 37"/>
    <hyperlink ref="I8" location="'Graf 56'!A1" display="Graf 56"/>
    <hyperlink ref="I10" location="'Graf 57 + 58 + 59'!A1" display="Graf 57 + 58 + 59"/>
    <hyperlink ref="I12" location="'DRM'!A1" display="DRM"/>
    <hyperlink ref="I13" location="'One-offs EK'!A1" display="One-offs EK"/>
    <hyperlink ref="L7" location="'Graf 1 + 2'!A1" display="Graf 1 + 2"/>
    <hyperlink ref="L9" location="'Tab 1 '!A1" display="Tab 1 "/>
    <hyperlink ref="L10" location="'Graf 3+4'!A1" display="Graf 3+4"/>
    <hyperlink ref="L11" location="'Graf 5+6'!A1" display="Graf 5+6"/>
    <hyperlink ref="L12" location="'Grafy 7 a 8'!A1" display="Grafy 7 a 8"/>
    <hyperlink ref="L13" location="'Graf 8,9,10 '!A1" display="Graf 8,9,10 "/>
    <hyperlink ref="L14" location="'Graf 11+12 '!A1" display="Graf 11+12 "/>
    <hyperlink ref="L15" location="'Tab 2 '!A1" display="Tab 2 "/>
    <hyperlink ref="L16" location="'Tab 3 '!A1" display="Tab 3 "/>
    <hyperlink ref="L17" location="'Tab 4 '!A1" display="Tab 4 "/>
    <hyperlink ref="L18" location="'Graf 13 + Tab 5 '!A1" display="Graf 13 + Tab 5 "/>
    <hyperlink ref="L19" location="'Graf 14 + 15 '!A1" display="Graf 14 + 15 "/>
    <hyperlink ref="L20" location="'Graf 16 + 17 '!A1" display="Graf 16 + 17 "/>
    <hyperlink ref="L21" location="'Graf 18 + Tab 6'!A1" display="Graf 18 + Tab 6"/>
    <hyperlink ref="L22" location="'Graf 19 + Tab 7'!A1" display="Graf 19 + Tab 7"/>
    <hyperlink ref="L23" location="'Graf 20 + Tab 8 '!A1" display="Graf 20 + Tab 8 "/>
    <hyperlink ref="L24" location="'Graf 21  + Tab 9 '!A1" display="Graf 21  + Tab 9 "/>
    <hyperlink ref="L25" location="'Tab 10'!A1" display="Tab 10"/>
    <hyperlink ref="L27" location="ESA2010_source!A1" display="ESA 2010 Table"/>
    <hyperlink ref="N6" location="'Graf 22 + 23 '!A1" display="Graf 22 + 23 "/>
    <hyperlink ref="N7" location="'Graf 24'!A1" display="Graf 24"/>
    <hyperlink ref="N8" location="'Graf 25 + 26'!A1" display="Graf 25 + 26"/>
    <hyperlink ref="N9" location="'Graf 27'!A1" display="Graf 27"/>
    <hyperlink ref="N10" location="'Tab 11'!A1" display="Tab 11"/>
    <hyperlink ref="N11" location="'Tab 12'!A1" display="Tab 12"/>
    <hyperlink ref="N12" location="'Tab 13 '!A1" display="Tab 13 "/>
    <hyperlink ref="N13" location="'Tab 14 '!A1" display="Tab 14 "/>
    <hyperlink ref="N14" location="'Tab 15 '!A1" display="Tab 15 "/>
    <hyperlink ref="N15" location="'Tab 16 '!A1" display="Tab 16 "/>
    <hyperlink ref="N16" location="'Tab 17 '!A1" display="Tab 17"/>
    <hyperlink ref="N17" location="'Graf 28 + 29 '!A1" display="Graf 28 + 29 "/>
    <hyperlink ref="N18" location="'Tab 18 '!A1" display="Tab 18 "/>
    <hyperlink ref="N19" location="'Graf 30 + 31; tab 19'!A1" display="Graf 30 + 31; tab 19"/>
    <hyperlink ref="N20" location="'Graf 32 '!A1" display="Graf 32 "/>
    <hyperlink ref="N21" location="'Tab 20 '!A1" display="Tab 20 "/>
    <hyperlink ref="N22" location="'Tab 21 '!A1" display="Tab 21 "/>
    <hyperlink ref="N23" location="'Graf 33 '!A1" display="Graf 33 "/>
    <hyperlink ref="N24" location="'Tab 22'!A1" display="Tab 22"/>
    <hyperlink ref="N25" location="'Graf 34 '!A1" display="Graf 34 "/>
    <hyperlink ref="N26" location="'Graf  35 '!A1" display="Graf  35 "/>
    <hyperlink ref="N27" location="'Graf 36 '!A1" display="Graf 36 "/>
    <hyperlink ref="P7" location="'Tab 23 '!A1" display="Tab 23 "/>
    <hyperlink ref="P8" location="'Tab 24 '!A1" display="Tab 24 "/>
    <hyperlink ref="P9" location="'Graf 37 + Tab 25'!A1" display="Graf 37 + Tab 25"/>
    <hyperlink ref="P10" location="'Tab 26 '!A1" display="Tab 26 "/>
    <hyperlink ref="P11" location="'Tab 27 '!A1" display="Tab 27 "/>
    <hyperlink ref="P13" location="'Tab 28 + 29'!A1" display="Tab 28 + 29"/>
    <hyperlink ref="P14" location="'Graf 38 + 39'!A1" display="Graf 38 + 39"/>
    <hyperlink ref="P15" location="'Tab 30'!A1" display="Tab 30"/>
    <hyperlink ref="P16" location="'Tab 31'!_Toc449430181" display="Tab S1 S2"/>
    <hyperlink ref="P18" location="'Graf 40'!A1" display="Graf 40"/>
    <hyperlink ref="P19" location="'Graf 41'!A1" display="Graf 41"/>
    <hyperlink ref="P20" location="'Graf 42'!A1" display="Graf 42"/>
    <hyperlink ref="P21" location="'Graf 43'!A1" display="Graf 43"/>
    <hyperlink ref="P22" location="'Graf 44 + 45'!A1" display="Graf 44 + 45"/>
    <hyperlink ref="P23" location="'Graf 46 + 47'!A1" display="Graf 46 + 47"/>
    <hyperlink ref="P24" location="'Graf 48 + 49'!A1" display="Graf 48 + 49"/>
    <hyperlink ref="P25" location="'Graf 50 + 51'!A1" display="Graf 50 + 51"/>
    <hyperlink ref="P26" location="'Graf 52 + 53'!A1" display="Graf 52 + 53"/>
    <hyperlink ref="P27" location="'Graf 54 +55'!A1" display="Graf 54 +55"/>
    <hyperlink ref="R7" location="'Tab 32'!_Toc432509118" display="Tab 37"/>
    <hyperlink ref="R8" location="'Graf 56'!A1" display="Graf 56"/>
    <hyperlink ref="R10" location="'Graf 57 + 58 + 59'!A1" display="Graf 57 + 58 + 59"/>
    <hyperlink ref="R12" location="'DRM'!A1" display="DRM"/>
    <hyperlink ref="R13" location="'One-offs EK'!A1" display="One-offs EK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B4:G31"/>
  <sheetViews>
    <sheetView showGridLines="0" zoomScale="85" zoomScaleNormal="85" workbookViewId="0">
      <selection activeCell="G28" sqref="G28"/>
    </sheetView>
  </sheetViews>
  <sheetFormatPr defaultRowHeight="13.5" x14ac:dyDescent="0.25"/>
  <cols>
    <col min="1" max="1" width="9.140625" style="40"/>
    <col min="2" max="2" width="28.85546875" style="40" bestFit="1" customWidth="1"/>
    <col min="3" max="5" width="9.140625" style="40"/>
    <col min="6" max="6" width="9.28515625" style="40" customWidth="1"/>
    <col min="7" max="16384" width="9.140625" style="40"/>
  </cols>
  <sheetData>
    <row r="4" spans="2:7" ht="14.25" thickBot="1" x14ac:dyDescent="0.3">
      <c r="B4" s="896" t="s">
        <v>526</v>
      </c>
      <c r="C4" s="896"/>
      <c r="D4" s="896"/>
      <c r="E4" s="896"/>
      <c r="F4" s="896"/>
    </row>
    <row r="5" spans="2:7" ht="14.25" thickBot="1" x14ac:dyDescent="0.3">
      <c r="B5" s="740"/>
      <c r="C5" s="745">
        <v>2016</v>
      </c>
      <c r="D5" s="745">
        <v>2017</v>
      </c>
      <c r="E5" s="745">
        <v>2018</v>
      </c>
      <c r="F5" s="745">
        <v>2019</v>
      </c>
      <c r="G5" s="745">
        <v>2020</v>
      </c>
    </row>
    <row r="6" spans="2:7" ht="15.75" x14ac:dyDescent="0.25">
      <c r="B6" s="628" t="s">
        <v>1614</v>
      </c>
      <c r="C6" s="746">
        <v>50</v>
      </c>
      <c r="D6" s="746">
        <v>400</v>
      </c>
      <c r="E6" s="746">
        <v>630</v>
      </c>
      <c r="F6" s="746">
        <v>303</v>
      </c>
      <c r="G6" s="746">
        <v>23</v>
      </c>
    </row>
    <row r="7" spans="2:7" x14ac:dyDescent="0.25">
      <c r="B7" s="628" t="s">
        <v>261</v>
      </c>
      <c r="C7" s="747"/>
      <c r="D7" s="747"/>
      <c r="E7" s="746">
        <v>500</v>
      </c>
      <c r="F7" s="748">
        <v>2300</v>
      </c>
      <c r="G7" s="748">
        <v>3700</v>
      </c>
    </row>
    <row r="8" spans="2:7" x14ac:dyDescent="0.25">
      <c r="B8" s="628" t="s">
        <v>262</v>
      </c>
      <c r="C8" s="746"/>
      <c r="D8" s="746"/>
      <c r="E8" s="748">
        <v>25000</v>
      </c>
      <c r="F8" s="748">
        <v>90000</v>
      </c>
      <c r="G8" s="748">
        <v>130000</v>
      </c>
    </row>
    <row r="9" spans="2:7" x14ac:dyDescent="0.25">
      <c r="B9" s="749" t="s">
        <v>263</v>
      </c>
      <c r="C9" s="747"/>
      <c r="D9" s="747"/>
      <c r="E9" s="748">
        <v>25000</v>
      </c>
      <c r="F9" s="748">
        <v>65000</v>
      </c>
      <c r="G9" s="748">
        <v>75000</v>
      </c>
    </row>
    <row r="10" spans="2:7" x14ac:dyDescent="0.25">
      <c r="B10" s="749" t="s">
        <v>264</v>
      </c>
      <c r="C10" s="746"/>
      <c r="D10" s="746"/>
      <c r="E10" s="746"/>
      <c r="F10" s="748">
        <v>25000</v>
      </c>
      <c r="G10" s="748">
        <v>55000</v>
      </c>
    </row>
    <row r="11" spans="2:7" ht="15.75" x14ac:dyDescent="0.25">
      <c r="B11" s="628" t="s">
        <v>1615</v>
      </c>
      <c r="C11" s="746">
        <v>164</v>
      </c>
      <c r="D11" s="746">
        <v>405</v>
      </c>
      <c r="E11" s="748">
        <v>1168</v>
      </c>
      <c r="F11" s="748">
        <v>2025</v>
      </c>
      <c r="G11" s="748">
        <v>2456</v>
      </c>
    </row>
    <row r="12" spans="2:7" x14ac:dyDescent="0.25">
      <c r="B12" s="628" t="s">
        <v>265</v>
      </c>
      <c r="C12" s="746">
        <v>410</v>
      </c>
      <c r="D12" s="748">
        <v>1094</v>
      </c>
      <c r="E12" s="748">
        <v>3388</v>
      </c>
      <c r="F12" s="748">
        <v>6076</v>
      </c>
      <c r="G12" s="748">
        <v>7614</v>
      </c>
    </row>
    <row r="13" spans="2:7" ht="15.75" x14ac:dyDescent="0.25">
      <c r="B13" s="628" t="s">
        <v>1616</v>
      </c>
      <c r="C13" s="748">
        <v>1621</v>
      </c>
      <c r="D13" s="748">
        <v>1657</v>
      </c>
      <c r="E13" s="748">
        <v>1693</v>
      </c>
      <c r="F13" s="748">
        <v>1730</v>
      </c>
      <c r="G13" s="748">
        <v>1768</v>
      </c>
    </row>
    <row r="14" spans="2:7" ht="15.75" x14ac:dyDescent="0.25">
      <c r="B14" s="628" t="s">
        <v>1612</v>
      </c>
      <c r="C14" s="750">
        <v>0.48</v>
      </c>
      <c r="D14" s="750">
        <v>0.59</v>
      </c>
      <c r="E14" s="750">
        <v>0.74</v>
      </c>
      <c r="F14" s="750">
        <v>0.79</v>
      </c>
      <c r="G14" s="750">
        <v>0.79</v>
      </c>
    </row>
    <row r="15" spans="2:7" ht="14.25" thickBot="1" x14ac:dyDescent="0.3">
      <c r="B15" s="751" t="s">
        <v>266</v>
      </c>
      <c r="C15" s="752"/>
      <c r="D15" s="752"/>
      <c r="E15" s="753">
        <v>0.67</v>
      </c>
      <c r="F15" s="753">
        <v>0.67</v>
      </c>
      <c r="G15" s="753">
        <v>0.67</v>
      </c>
    </row>
    <row r="16" spans="2:7" ht="15.75" customHeight="1" x14ac:dyDescent="0.25">
      <c r="B16" s="926" t="s">
        <v>668</v>
      </c>
      <c r="C16" s="926"/>
      <c r="D16" s="926"/>
      <c r="E16" s="925" t="s">
        <v>410</v>
      </c>
      <c r="F16" s="925"/>
      <c r="G16" s="925"/>
    </row>
    <row r="17" spans="2:7" x14ac:dyDescent="0.25">
      <c r="B17" s="927"/>
      <c r="C17" s="927"/>
      <c r="D17" s="927"/>
      <c r="E17" s="109"/>
      <c r="F17" s="109"/>
    </row>
    <row r="19" spans="2:7" ht="14.25" thickBot="1" x14ac:dyDescent="0.3">
      <c r="B19" s="896" t="s">
        <v>527</v>
      </c>
      <c r="C19" s="896"/>
      <c r="D19" s="896"/>
      <c r="E19" s="896"/>
      <c r="F19" s="896"/>
    </row>
    <row r="20" spans="2:7" ht="14.25" thickBot="1" x14ac:dyDescent="0.3">
      <c r="B20" s="740"/>
      <c r="C20" s="745">
        <v>2016</v>
      </c>
      <c r="D20" s="745">
        <v>2017</v>
      </c>
      <c r="E20" s="745">
        <v>2018</v>
      </c>
      <c r="F20" s="745">
        <v>2019</v>
      </c>
      <c r="G20" s="745">
        <v>2020</v>
      </c>
    </row>
    <row r="21" spans="2:7" ht="15.75" x14ac:dyDescent="0.25">
      <c r="B21" s="628" t="s">
        <v>1617</v>
      </c>
      <c r="C21" s="746">
        <v>50</v>
      </c>
      <c r="D21" s="746">
        <v>400</v>
      </c>
      <c r="E21" s="746">
        <v>630</v>
      </c>
      <c r="F21" s="746">
        <v>303</v>
      </c>
      <c r="G21" s="746">
        <v>23</v>
      </c>
    </row>
    <row r="22" spans="2:7" x14ac:dyDescent="0.25">
      <c r="B22" s="628" t="s">
        <v>411</v>
      </c>
      <c r="C22" s="747"/>
      <c r="D22" s="747"/>
      <c r="E22" s="746">
        <v>500</v>
      </c>
      <c r="F22" s="748">
        <v>2300</v>
      </c>
      <c r="G22" s="748">
        <v>3700</v>
      </c>
    </row>
    <row r="23" spans="2:7" x14ac:dyDescent="0.25">
      <c r="B23" s="628" t="s">
        <v>412</v>
      </c>
      <c r="C23" s="746"/>
      <c r="D23" s="746"/>
      <c r="E23" s="748">
        <v>25000</v>
      </c>
      <c r="F23" s="748">
        <v>90000</v>
      </c>
      <c r="G23" s="748">
        <v>130000</v>
      </c>
    </row>
    <row r="24" spans="2:7" x14ac:dyDescent="0.25">
      <c r="B24" s="749" t="s">
        <v>263</v>
      </c>
      <c r="C24" s="747"/>
      <c r="D24" s="747"/>
      <c r="E24" s="748">
        <v>25000</v>
      </c>
      <c r="F24" s="748">
        <v>65000</v>
      </c>
      <c r="G24" s="748">
        <v>75000</v>
      </c>
    </row>
    <row r="25" spans="2:7" x14ac:dyDescent="0.25">
      <c r="B25" s="749" t="s">
        <v>264</v>
      </c>
      <c r="C25" s="746"/>
      <c r="D25" s="746"/>
      <c r="E25" s="746"/>
      <c r="F25" s="748">
        <v>25000</v>
      </c>
      <c r="G25" s="748">
        <v>55000</v>
      </c>
    </row>
    <row r="26" spans="2:7" ht="15.75" x14ac:dyDescent="0.25">
      <c r="B26" s="628" t="s">
        <v>1618</v>
      </c>
      <c r="C26" s="746">
        <v>164</v>
      </c>
      <c r="D26" s="746">
        <v>405</v>
      </c>
      <c r="E26" s="748">
        <v>1168</v>
      </c>
      <c r="F26" s="748">
        <v>2025</v>
      </c>
      <c r="G26" s="748">
        <v>2456</v>
      </c>
    </row>
    <row r="27" spans="2:7" x14ac:dyDescent="0.25">
      <c r="B27" s="628" t="s">
        <v>413</v>
      </c>
      <c r="C27" s="746">
        <v>410</v>
      </c>
      <c r="D27" s="748">
        <v>1094</v>
      </c>
      <c r="E27" s="748">
        <v>3388</v>
      </c>
      <c r="F27" s="748">
        <v>6076</v>
      </c>
      <c r="G27" s="748">
        <v>7614</v>
      </c>
    </row>
    <row r="28" spans="2:7" ht="15.75" x14ac:dyDescent="0.25">
      <c r="B28" s="628" t="s">
        <v>1619</v>
      </c>
      <c r="C28" s="748">
        <v>1621</v>
      </c>
      <c r="D28" s="748">
        <v>1657</v>
      </c>
      <c r="E28" s="748">
        <v>1693</v>
      </c>
      <c r="F28" s="748">
        <v>1730</v>
      </c>
      <c r="G28" s="748">
        <v>1768</v>
      </c>
    </row>
    <row r="29" spans="2:7" ht="15.75" x14ac:dyDescent="0.25">
      <c r="B29" s="628" t="s">
        <v>1620</v>
      </c>
      <c r="C29" s="750">
        <v>0.48</v>
      </c>
      <c r="D29" s="750">
        <v>0.59</v>
      </c>
      <c r="E29" s="750">
        <v>0.74</v>
      </c>
      <c r="F29" s="750">
        <v>0.79</v>
      </c>
      <c r="G29" s="750">
        <v>0.79</v>
      </c>
    </row>
    <row r="30" spans="2:7" ht="14.25" thickBot="1" x14ac:dyDescent="0.3">
      <c r="B30" s="751" t="s">
        <v>414</v>
      </c>
      <c r="C30" s="751"/>
      <c r="D30" s="752"/>
      <c r="E30" s="753">
        <v>0.67</v>
      </c>
      <c r="F30" s="753">
        <v>0.67</v>
      </c>
      <c r="G30" s="753">
        <v>0.67</v>
      </c>
    </row>
    <row r="31" spans="2:7" ht="15.75" customHeight="1" x14ac:dyDescent="0.25">
      <c r="B31" s="108"/>
      <c r="C31" s="108"/>
      <c r="D31" s="108"/>
      <c r="E31" s="925" t="s">
        <v>415</v>
      </c>
      <c r="F31" s="925"/>
      <c r="G31" s="925"/>
    </row>
  </sheetData>
  <mergeCells count="5">
    <mergeCell ref="B4:F4"/>
    <mergeCell ref="B19:F19"/>
    <mergeCell ref="E16:G16"/>
    <mergeCell ref="E31:G31"/>
    <mergeCell ref="B16:D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B4:G18"/>
  <sheetViews>
    <sheetView showGridLines="0" zoomScale="85" zoomScaleNormal="85" workbookViewId="0">
      <selection activeCell="E16" sqref="E16"/>
    </sheetView>
  </sheetViews>
  <sheetFormatPr defaultRowHeight="13.5" x14ac:dyDescent="0.25"/>
  <cols>
    <col min="1" max="1" width="9.140625" style="40"/>
    <col min="2" max="2" width="18.85546875" style="40" customWidth="1"/>
    <col min="3" max="16384" width="9.140625" style="40"/>
  </cols>
  <sheetData>
    <row r="4" spans="2:7" ht="14.25" thickBot="1" x14ac:dyDescent="0.3">
      <c r="B4" s="739" t="s">
        <v>1553</v>
      </c>
      <c r="C4" s="739"/>
      <c r="D4" s="739"/>
      <c r="E4" s="739"/>
      <c r="F4" s="739"/>
    </row>
    <row r="5" spans="2:7" ht="14.25" thickBot="1" x14ac:dyDescent="0.3">
      <c r="B5" s="740"/>
      <c r="C5" s="741">
        <v>2016</v>
      </c>
      <c r="D5" s="741">
        <v>2017</v>
      </c>
      <c r="E5" s="741">
        <v>2018</v>
      </c>
      <c r="F5" s="741">
        <v>2019</v>
      </c>
      <c r="G5" s="741">
        <v>2020</v>
      </c>
    </row>
    <row r="6" spans="2:7" x14ac:dyDescent="0.25">
      <c r="B6" s="628" t="s">
        <v>317</v>
      </c>
      <c r="C6" s="145">
        <v>400</v>
      </c>
      <c r="D6" s="145">
        <v>400</v>
      </c>
      <c r="E6" s="742"/>
      <c r="F6" s="742"/>
      <c r="G6" s="742"/>
    </row>
    <row r="7" spans="2:7" x14ac:dyDescent="0.25">
      <c r="B7" s="628" t="s">
        <v>261</v>
      </c>
      <c r="C7" s="115"/>
      <c r="D7" s="115"/>
      <c r="E7" s="743">
        <v>1000</v>
      </c>
      <c r="F7" s="743">
        <v>1600</v>
      </c>
      <c r="G7" s="743">
        <v>1600</v>
      </c>
    </row>
    <row r="8" spans="2:7" x14ac:dyDescent="0.25">
      <c r="B8" s="628" t="s">
        <v>262</v>
      </c>
      <c r="C8" s="742"/>
      <c r="D8" s="742"/>
      <c r="E8" s="743">
        <v>50000</v>
      </c>
      <c r="F8" s="743">
        <v>80000</v>
      </c>
      <c r="G8" s="743">
        <v>80000</v>
      </c>
    </row>
    <row r="9" spans="2:7" ht="16.5" thickBot="1" x14ac:dyDescent="0.3">
      <c r="B9" s="628" t="s">
        <v>1612</v>
      </c>
      <c r="C9" s="744">
        <v>0.48</v>
      </c>
      <c r="D9" s="744">
        <v>0.7</v>
      </c>
      <c r="E9" s="742"/>
      <c r="F9" s="742"/>
      <c r="G9" s="724"/>
    </row>
    <row r="10" spans="2:7" x14ac:dyDescent="0.25">
      <c r="B10" s="928" t="s">
        <v>21</v>
      </c>
      <c r="C10" s="928"/>
      <c r="D10" s="928"/>
      <c r="E10" s="928"/>
      <c r="F10" s="928"/>
    </row>
    <row r="12" spans="2:7" ht="14.25" thickBot="1" x14ac:dyDescent="0.3">
      <c r="B12" s="739" t="s">
        <v>528</v>
      </c>
      <c r="C12" s="739"/>
      <c r="D12" s="739"/>
      <c r="E12" s="739"/>
      <c r="F12" s="739"/>
    </row>
    <row r="13" spans="2:7" ht="14.25" thickBot="1" x14ac:dyDescent="0.3">
      <c r="B13" s="740"/>
      <c r="C13" s="741">
        <v>2016</v>
      </c>
      <c r="D13" s="741">
        <v>2017</v>
      </c>
      <c r="E13" s="741">
        <v>2018</v>
      </c>
      <c r="F13" s="741">
        <v>2019</v>
      </c>
      <c r="G13" s="741">
        <v>2020</v>
      </c>
    </row>
    <row r="14" spans="2:7" x14ac:dyDescent="0.25">
      <c r="B14" s="628" t="s">
        <v>416</v>
      </c>
      <c r="C14" s="145">
        <v>400</v>
      </c>
      <c r="D14" s="145">
        <v>400</v>
      </c>
      <c r="E14" s="742"/>
      <c r="F14" s="742"/>
      <c r="G14" s="742"/>
    </row>
    <row r="15" spans="2:7" x14ac:dyDescent="0.25">
      <c r="B15" s="628" t="s">
        <v>411</v>
      </c>
      <c r="C15" s="115"/>
      <c r="D15" s="115"/>
      <c r="E15" s="743">
        <v>1000</v>
      </c>
      <c r="F15" s="743">
        <v>1600</v>
      </c>
      <c r="G15" s="743">
        <v>1600</v>
      </c>
    </row>
    <row r="16" spans="2:7" x14ac:dyDescent="0.25">
      <c r="B16" s="628" t="s">
        <v>412</v>
      </c>
      <c r="C16" s="742"/>
      <c r="D16" s="742"/>
      <c r="E16" s="743">
        <v>50000</v>
      </c>
      <c r="F16" s="743">
        <v>80000</v>
      </c>
      <c r="G16" s="743">
        <v>80000</v>
      </c>
    </row>
    <row r="17" spans="2:7" ht="16.5" thickBot="1" x14ac:dyDescent="0.3">
      <c r="B17" s="628" t="s">
        <v>1613</v>
      </c>
      <c r="C17" s="744">
        <v>0.48</v>
      </c>
      <c r="D17" s="744">
        <v>0.7</v>
      </c>
      <c r="E17" s="742"/>
      <c r="F17" s="742"/>
      <c r="G17" s="724"/>
    </row>
    <row r="18" spans="2:7" x14ac:dyDescent="0.25">
      <c r="B18" s="928" t="s">
        <v>345</v>
      </c>
      <c r="C18" s="928"/>
      <c r="D18" s="928"/>
      <c r="E18" s="928"/>
      <c r="F18" s="928"/>
    </row>
  </sheetData>
  <mergeCells count="2">
    <mergeCell ref="B10:F10"/>
    <mergeCell ref="B18:F1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B2:Q33"/>
  <sheetViews>
    <sheetView showGridLines="0" zoomScale="85" zoomScaleNormal="85" workbookViewId="0">
      <selection activeCell="G28" sqref="G28"/>
    </sheetView>
  </sheetViews>
  <sheetFormatPr defaultRowHeight="13.5" x14ac:dyDescent="0.25"/>
  <cols>
    <col min="1" max="1" width="11.140625" style="40" customWidth="1"/>
    <col min="2" max="2" width="34.140625" style="40" customWidth="1"/>
    <col min="3" max="3" width="9.140625" style="40"/>
    <col min="4" max="4" width="14" style="40" customWidth="1"/>
    <col min="5" max="8" width="9.140625" style="40"/>
    <col min="9" max="9" width="10.5703125" style="40" customWidth="1"/>
    <col min="10" max="10" width="9.140625" style="40"/>
    <col min="11" max="11" width="12" style="40" bestFit="1" customWidth="1"/>
    <col min="12" max="16384" width="9.140625" style="40"/>
  </cols>
  <sheetData>
    <row r="2" spans="2:17" ht="27.75" thickBot="1" x14ac:dyDescent="0.3">
      <c r="B2" s="710" t="s">
        <v>1016</v>
      </c>
      <c r="C2" s="736"/>
      <c r="D2" s="919" t="s">
        <v>571</v>
      </c>
      <c r="E2" s="919"/>
      <c r="F2" s="919"/>
      <c r="G2" s="919"/>
      <c r="H2" s="919"/>
    </row>
    <row r="3" spans="2:17" ht="14.25" thickBot="1" x14ac:dyDescent="0.3">
      <c r="B3" s="737"/>
      <c r="C3" s="10"/>
      <c r="D3" s="53"/>
      <c r="E3" s="53">
        <v>2016</v>
      </c>
      <c r="F3" s="53">
        <v>2017</v>
      </c>
      <c r="G3" s="53">
        <v>2018</v>
      </c>
      <c r="H3" s="53">
        <v>2019</v>
      </c>
      <c r="I3" s="53">
        <v>2020</v>
      </c>
      <c r="K3" s="131"/>
      <c r="L3" s="132">
        <v>2015</v>
      </c>
      <c r="M3" s="132">
        <v>2016</v>
      </c>
      <c r="N3" s="132">
        <v>2017</v>
      </c>
      <c r="O3" s="132">
        <v>2018</v>
      </c>
      <c r="P3" s="132">
        <v>2019</v>
      </c>
      <c r="Q3" s="132">
        <v>2020</v>
      </c>
    </row>
    <row r="4" spans="2:17" x14ac:dyDescent="0.25">
      <c r="B4" s="84"/>
      <c r="C4" s="85"/>
      <c r="D4" s="390"/>
      <c r="E4" s="934" t="s">
        <v>323</v>
      </c>
      <c r="F4" s="934"/>
      <c r="G4" s="934"/>
      <c r="H4" s="934"/>
      <c r="I4" s="934"/>
      <c r="K4" s="123" t="s">
        <v>318</v>
      </c>
      <c r="L4" s="124">
        <v>3.8</v>
      </c>
      <c r="M4" s="124">
        <v>3.3</v>
      </c>
      <c r="N4" s="124">
        <v>3.3</v>
      </c>
      <c r="O4" s="124">
        <v>4</v>
      </c>
      <c r="P4" s="124">
        <v>4.4000000000000004</v>
      </c>
      <c r="Q4" s="124">
        <v>3.8</v>
      </c>
    </row>
    <row r="5" spans="2:17" x14ac:dyDescent="0.25">
      <c r="D5" s="120" t="s">
        <v>127</v>
      </c>
      <c r="E5" s="40">
        <v>0.3</v>
      </c>
      <c r="F5" s="40">
        <v>2.1</v>
      </c>
      <c r="G5" s="40">
        <v>1.2</v>
      </c>
      <c r="H5" s="40">
        <v>-1.9</v>
      </c>
      <c r="I5" s="40">
        <v>-1.5</v>
      </c>
      <c r="K5" s="123" t="s">
        <v>319</v>
      </c>
      <c r="L5" s="124">
        <v>3.77</v>
      </c>
      <c r="M5" s="124">
        <v>3.27</v>
      </c>
      <c r="N5" s="124">
        <v>3.13</v>
      </c>
      <c r="O5" s="124">
        <v>3.78</v>
      </c>
      <c r="P5" s="124">
        <v>3.7500000000000004</v>
      </c>
      <c r="Q5" s="124">
        <v>3.34</v>
      </c>
    </row>
    <row r="6" spans="2:17" x14ac:dyDescent="0.25">
      <c r="D6" s="120" t="s">
        <v>321</v>
      </c>
      <c r="G6" s="40">
        <v>0.6</v>
      </c>
      <c r="H6" s="40">
        <v>1.9</v>
      </c>
      <c r="I6" s="40">
        <v>1.2</v>
      </c>
      <c r="K6" s="123" t="s">
        <v>320</v>
      </c>
      <c r="L6" s="124">
        <v>3.5</v>
      </c>
      <c r="M6" s="124">
        <v>3</v>
      </c>
      <c r="N6" s="124">
        <v>3.25</v>
      </c>
      <c r="O6" s="124">
        <v>3.4699999999999998</v>
      </c>
      <c r="P6" s="124">
        <v>3.5100000000000007</v>
      </c>
      <c r="Q6" s="124">
        <v>3.34</v>
      </c>
    </row>
    <row r="7" spans="2:17" x14ac:dyDescent="0.25">
      <c r="D7" s="120" t="s">
        <v>322</v>
      </c>
      <c r="E7" s="41">
        <v>0.04</v>
      </c>
      <c r="F7" s="41">
        <v>0.05</v>
      </c>
      <c r="G7" s="41">
        <v>0.17</v>
      </c>
      <c r="H7" s="41">
        <v>0.22</v>
      </c>
      <c r="I7" s="41">
        <v>0.02</v>
      </c>
    </row>
    <row r="8" spans="2:17" ht="14.25" thickBot="1" x14ac:dyDescent="0.3">
      <c r="D8" s="297" t="s">
        <v>108</v>
      </c>
      <c r="E8" s="390">
        <v>0.03</v>
      </c>
      <c r="F8" s="390">
        <v>0.17</v>
      </c>
      <c r="G8" s="390">
        <v>0.22</v>
      </c>
      <c r="H8" s="390">
        <v>0.65</v>
      </c>
      <c r="I8" s="390">
        <v>0.46</v>
      </c>
      <c r="K8" s="131"/>
      <c r="L8" s="132">
        <v>2015</v>
      </c>
      <c r="M8" s="132">
        <v>2016</v>
      </c>
      <c r="N8" s="132">
        <v>2017</v>
      </c>
      <c r="O8" s="132">
        <v>2018</v>
      </c>
      <c r="P8" s="132">
        <v>2019</v>
      </c>
      <c r="Q8" s="132">
        <v>2020</v>
      </c>
    </row>
    <row r="9" spans="2:17" x14ac:dyDescent="0.25">
      <c r="D9" s="738"/>
      <c r="E9" s="932" t="s">
        <v>324</v>
      </c>
      <c r="F9" s="932"/>
      <c r="G9" s="932"/>
      <c r="H9" s="932"/>
      <c r="I9" s="932"/>
      <c r="K9" s="123" t="s">
        <v>417</v>
      </c>
      <c r="L9" s="124">
        <v>3.8</v>
      </c>
      <c r="M9" s="124">
        <v>3.3</v>
      </c>
      <c r="N9" s="124">
        <v>3.3</v>
      </c>
      <c r="O9" s="124">
        <v>4</v>
      </c>
      <c r="P9" s="124">
        <v>4.4000000000000004</v>
      </c>
      <c r="Q9" s="124">
        <v>3.8</v>
      </c>
    </row>
    <row r="10" spans="2:17" x14ac:dyDescent="0.25">
      <c r="D10" s="120" t="s">
        <v>127</v>
      </c>
      <c r="E10" s="40">
        <v>2.2000000000000002</v>
      </c>
      <c r="F10" s="40">
        <v>-0.1</v>
      </c>
      <c r="G10" s="40">
        <v>-2.2999999999999998</v>
      </c>
      <c r="H10" s="40">
        <v>0</v>
      </c>
      <c r="K10" s="123" t="s">
        <v>418</v>
      </c>
      <c r="L10" s="124">
        <v>3.77</v>
      </c>
      <c r="M10" s="124">
        <v>3.27</v>
      </c>
      <c r="N10" s="124">
        <v>3.13</v>
      </c>
      <c r="O10" s="124">
        <v>3.78</v>
      </c>
      <c r="P10" s="124">
        <v>3.7500000000000004</v>
      </c>
      <c r="Q10" s="124">
        <v>3.34</v>
      </c>
    </row>
    <row r="11" spans="2:17" x14ac:dyDescent="0.25">
      <c r="D11" s="120" t="s">
        <v>321</v>
      </c>
      <c r="G11" s="40">
        <v>1.2</v>
      </c>
      <c r="H11" s="40">
        <v>0.6</v>
      </c>
      <c r="K11" s="123" t="s">
        <v>419</v>
      </c>
      <c r="L11" s="124">
        <v>3.5</v>
      </c>
      <c r="M11" s="124">
        <v>3</v>
      </c>
      <c r="N11" s="124">
        <v>3.25</v>
      </c>
      <c r="O11" s="124">
        <v>3.4699999999999998</v>
      </c>
      <c r="P11" s="124">
        <v>3.5100000000000007</v>
      </c>
      <c r="Q11" s="124">
        <v>3.34</v>
      </c>
    </row>
    <row r="12" spans="2:17" x14ac:dyDescent="0.25">
      <c r="D12" s="120" t="s">
        <v>322</v>
      </c>
      <c r="E12" s="40">
        <v>0.02</v>
      </c>
      <c r="F12" s="40">
        <v>0.02</v>
      </c>
      <c r="G12" s="40">
        <v>0.12</v>
      </c>
      <c r="H12" s="40">
        <v>0.03</v>
      </c>
    </row>
    <row r="13" spans="2:17" ht="14.25" thickBot="1" x14ac:dyDescent="0.3">
      <c r="D13" s="53" t="s">
        <v>108</v>
      </c>
      <c r="E13" s="52">
        <v>0.27</v>
      </c>
      <c r="F13" s="52">
        <v>-0.12</v>
      </c>
      <c r="G13" s="52">
        <v>0.31</v>
      </c>
      <c r="H13" s="52">
        <v>0.24</v>
      </c>
      <c r="I13" s="52"/>
    </row>
    <row r="14" spans="2:17" x14ac:dyDescent="0.25">
      <c r="D14" s="519"/>
      <c r="E14" s="393"/>
      <c r="F14" s="393"/>
      <c r="G14" s="933" t="s">
        <v>21</v>
      </c>
      <c r="H14" s="933"/>
      <c r="I14" s="933"/>
    </row>
    <row r="15" spans="2:17" x14ac:dyDescent="0.25">
      <c r="B15" s="929" t="s">
        <v>21</v>
      </c>
      <c r="C15" s="929"/>
      <c r="D15" s="519"/>
      <c r="E15" s="393"/>
      <c r="F15" s="393"/>
      <c r="G15" s="929"/>
      <c r="H15" s="929"/>
    </row>
    <row r="17" spans="2:14" ht="27.75" thickBot="1" x14ac:dyDescent="0.3">
      <c r="B17" s="710" t="s">
        <v>1017</v>
      </c>
      <c r="C17" s="736"/>
      <c r="D17" s="919" t="s">
        <v>603</v>
      </c>
      <c r="E17" s="919"/>
      <c r="F17" s="919"/>
      <c r="G17" s="919"/>
      <c r="H17" s="919"/>
    </row>
    <row r="18" spans="2:14" ht="14.25" thickBot="1" x14ac:dyDescent="0.3">
      <c r="B18" s="737"/>
      <c r="C18" s="10"/>
      <c r="D18" s="53"/>
      <c r="E18" s="53">
        <v>2016</v>
      </c>
      <c r="F18" s="53">
        <v>2017</v>
      </c>
      <c r="G18" s="53">
        <v>2018</v>
      </c>
      <c r="H18" s="53">
        <v>2019</v>
      </c>
    </row>
    <row r="19" spans="2:14" x14ac:dyDescent="0.25">
      <c r="B19" s="84"/>
      <c r="C19" s="85"/>
      <c r="D19" s="390"/>
      <c r="E19" s="934" t="s">
        <v>323</v>
      </c>
      <c r="F19" s="934"/>
      <c r="G19" s="934"/>
      <c r="H19" s="934"/>
    </row>
    <row r="20" spans="2:14" x14ac:dyDescent="0.25">
      <c r="D20" s="120" t="s">
        <v>372</v>
      </c>
      <c r="E20" s="40">
        <v>1.2</v>
      </c>
      <c r="F20" s="40">
        <v>1.5</v>
      </c>
      <c r="G20" s="40">
        <v>0.4</v>
      </c>
      <c r="H20" s="40">
        <v>-1.6</v>
      </c>
    </row>
    <row r="21" spans="2:14" x14ac:dyDescent="0.25">
      <c r="D21" s="120" t="s">
        <v>321</v>
      </c>
      <c r="G21" s="40">
        <v>0.7</v>
      </c>
      <c r="H21" s="40">
        <v>2.5</v>
      </c>
    </row>
    <row r="22" spans="2:14" x14ac:dyDescent="0.25">
      <c r="D22" s="120" t="s">
        <v>420</v>
      </c>
      <c r="E22" s="40">
        <v>0.04</v>
      </c>
      <c r="F22" s="40">
        <v>0.05</v>
      </c>
      <c r="G22" s="40">
        <v>0.21</v>
      </c>
      <c r="H22" s="40">
        <v>0.26</v>
      </c>
      <c r="I22" s="393"/>
      <c r="J22" s="393"/>
      <c r="K22" s="393"/>
      <c r="L22" s="393"/>
      <c r="M22" s="393"/>
    </row>
    <row r="23" spans="2:14" x14ac:dyDescent="0.25">
      <c r="D23" s="297" t="s">
        <v>340</v>
      </c>
      <c r="E23" s="390">
        <v>0.2</v>
      </c>
      <c r="F23" s="390">
        <v>0.2</v>
      </c>
      <c r="G23" s="390">
        <v>0.3</v>
      </c>
      <c r="H23" s="390">
        <v>0.9</v>
      </c>
      <c r="I23" s="519"/>
      <c r="J23" s="519"/>
      <c r="K23" s="519"/>
      <c r="L23" s="519"/>
      <c r="M23" s="519"/>
    </row>
    <row r="24" spans="2:14" x14ac:dyDescent="0.25">
      <c r="D24" s="738"/>
      <c r="E24" s="932" t="s">
        <v>324</v>
      </c>
      <c r="F24" s="932"/>
      <c r="G24" s="932"/>
      <c r="H24" s="932"/>
      <c r="I24" s="393"/>
      <c r="J24" s="931"/>
      <c r="K24" s="931"/>
      <c r="L24" s="931"/>
      <c r="M24" s="931"/>
    </row>
    <row r="25" spans="2:14" x14ac:dyDescent="0.25">
      <c r="D25" s="120" t="s">
        <v>372</v>
      </c>
      <c r="E25" s="40">
        <v>2</v>
      </c>
      <c r="F25" s="40">
        <v>0.4</v>
      </c>
      <c r="G25" s="40">
        <v>-2.4</v>
      </c>
      <c r="H25" s="40">
        <v>0</v>
      </c>
      <c r="I25" s="519"/>
      <c r="J25" s="393"/>
      <c r="K25" s="393"/>
      <c r="L25" s="393"/>
      <c r="M25" s="393"/>
    </row>
    <row r="26" spans="2:14" x14ac:dyDescent="0.25">
      <c r="D26" s="120" t="s">
        <v>321</v>
      </c>
      <c r="G26" s="40">
        <v>1.2</v>
      </c>
      <c r="H26" s="40">
        <v>0.6</v>
      </c>
      <c r="I26" s="519"/>
      <c r="J26" s="393"/>
      <c r="K26" s="393"/>
      <c r="L26" s="393"/>
      <c r="M26" s="393"/>
    </row>
    <row r="27" spans="2:14" x14ac:dyDescent="0.25">
      <c r="D27" s="120" t="s">
        <v>420</v>
      </c>
      <c r="E27" s="40">
        <v>0.02</v>
      </c>
      <c r="F27" s="40">
        <v>0.02</v>
      </c>
      <c r="G27" s="40">
        <v>0.12</v>
      </c>
      <c r="H27" s="40">
        <v>0.03</v>
      </c>
      <c r="I27" s="519"/>
      <c r="J27" s="393"/>
      <c r="K27" s="393"/>
      <c r="L27" s="393"/>
      <c r="M27" s="393"/>
    </row>
    <row r="28" spans="2:14" ht="14.25" thickBot="1" x14ac:dyDescent="0.3">
      <c r="D28" s="53" t="s">
        <v>340</v>
      </c>
      <c r="E28" s="52">
        <v>0.2</v>
      </c>
      <c r="F28" s="52">
        <v>-0.1</v>
      </c>
      <c r="G28" s="52">
        <v>0.2</v>
      </c>
      <c r="H28" s="52">
        <v>0.2</v>
      </c>
      <c r="I28" s="519"/>
      <c r="J28" s="393"/>
      <c r="K28" s="393"/>
      <c r="L28" s="393"/>
      <c r="M28" s="393"/>
    </row>
    <row r="29" spans="2:14" x14ac:dyDescent="0.25">
      <c r="I29" s="519"/>
      <c r="J29" s="931"/>
      <c r="K29" s="931"/>
      <c r="L29" s="931"/>
      <c r="M29" s="931"/>
      <c r="N29" s="393"/>
    </row>
    <row r="30" spans="2:14" x14ac:dyDescent="0.25">
      <c r="B30" s="929" t="s">
        <v>345</v>
      </c>
      <c r="C30" s="929"/>
      <c r="G30" s="929" t="s">
        <v>345</v>
      </c>
      <c r="H30" s="929"/>
      <c r="I30" s="519"/>
      <c r="J30" s="393"/>
      <c r="K30" s="393"/>
      <c r="L30" s="393"/>
      <c r="M30" s="393"/>
      <c r="N30" s="393"/>
    </row>
    <row r="31" spans="2:14" x14ac:dyDescent="0.25">
      <c r="I31" s="930"/>
      <c r="J31" s="930"/>
      <c r="K31" s="930"/>
      <c r="L31" s="930"/>
      <c r="M31" s="930"/>
      <c r="N31" s="393"/>
    </row>
    <row r="32" spans="2:14" x14ac:dyDescent="0.25">
      <c r="I32" s="519"/>
      <c r="J32" s="393"/>
      <c r="K32" s="393"/>
      <c r="L32" s="393"/>
      <c r="M32" s="393"/>
      <c r="N32" s="393"/>
    </row>
    <row r="33" spans="9:14" x14ac:dyDescent="0.25">
      <c r="I33" s="519"/>
      <c r="J33" s="393"/>
      <c r="K33" s="393"/>
      <c r="L33" s="393"/>
      <c r="M33" s="393"/>
      <c r="N33" s="393"/>
    </row>
  </sheetData>
  <mergeCells count="14">
    <mergeCell ref="G14:I14"/>
    <mergeCell ref="D2:H2"/>
    <mergeCell ref="D17:H17"/>
    <mergeCell ref="E19:H19"/>
    <mergeCell ref="E4:I4"/>
    <mergeCell ref="E9:I9"/>
    <mergeCell ref="B15:C15"/>
    <mergeCell ref="G15:H15"/>
    <mergeCell ref="I31:M31"/>
    <mergeCell ref="B30:C30"/>
    <mergeCell ref="G30:H30"/>
    <mergeCell ref="J24:M24"/>
    <mergeCell ref="J29:M29"/>
    <mergeCell ref="E24:H2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1:P35"/>
  <sheetViews>
    <sheetView showGridLines="0" zoomScale="85" zoomScaleNormal="85" workbookViewId="0">
      <selection activeCell="N34" sqref="N34"/>
    </sheetView>
  </sheetViews>
  <sheetFormatPr defaultRowHeight="13.5" x14ac:dyDescent="0.25"/>
  <cols>
    <col min="1" max="1" width="9.140625" style="40"/>
    <col min="2" max="2" width="29.85546875" style="40" customWidth="1"/>
    <col min="3" max="3" width="9.140625" style="40"/>
    <col min="4" max="4" width="9.140625" style="393"/>
    <col min="5" max="5" width="30.42578125" style="40" customWidth="1"/>
    <col min="6" max="8" width="9.140625" style="40"/>
    <col min="9" max="9" width="20.42578125" style="40" bestFit="1" customWidth="1"/>
    <col min="10" max="16384" width="9.140625" style="40"/>
  </cols>
  <sheetData>
    <row r="1" spans="2:16" x14ac:dyDescent="0.25">
      <c r="I1" s="115"/>
      <c r="J1" s="115"/>
      <c r="K1" s="115"/>
      <c r="L1" s="115"/>
      <c r="M1" s="115"/>
      <c r="N1" s="115"/>
      <c r="O1" s="115"/>
    </row>
    <row r="2" spans="2:16" ht="26.25" customHeight="1" thickBot="1" x14ac:dyDescent="0.3">
      <c r="B2" s="919" t="s">
        <v>1018</v>
      </c>
      <c r="C2" s="919"/>
      <c r="D2" s="653"/>
      <c r="E2" s="919" t="s">
        <v>1019</v>
      </c>
      <c r="F2" s="919"/>
      <c r="G2" s="919"/>
      <c r="H2" s="653"/>
      <c r="I2" s="115"/>
      <c r="J2" s="115"/>
      <c r="K2" s="115"/>
      <c r="L2" s="115"/>
      <c r="M2" s="115"/>
      <c r="N2" s="115"/>
      <c r="O2" s="115"/>
    </row>
    <row r="3" spans="2:16" ht="14.25" thickBot="1" x14ac:dyDescent="0.3">
      <c r="B3" s="734"/>
      <c r="C3" s="10"/>
      <c r="D3" s="735"/>
      <c r="E3" s="734"/>
      <c r="I3" s="133"/>
      <c r="J3" s="134">
        <v>2014</v>
      </c>
      <c r="K3" s="134">
        <v>2015</v>
      </c>
      <c r="L3" s="134">
        <v>2016</v>
      </c>
      <c r="M3" s="134" t="s">
        <v>268</v>
      </c>
      <c r="N3" s="134" t="s">
        <v>269</v>
      </c>
      <c r="O3" s="134" t="s">
        <v>270</v>
      </c>
      <c r="P3" s="134" t="s">
        <v>631</v>
      </c>
    </row>
    <row r="4" spans="2:16" x14ac:dyDescent="0.25">
      <c r="B4" s="84"/>
      <c r="C4" s="85"/>
      <c r="D4" s="463"/>
      <c r="E4" s="84"/>
      <c r="I4" s="115" t="s">
        <v>210</v>
      </c>
      <c r="J4" s="125">
        <v>1.6954445584978419</v>
      </c>
      <c r="K4" s="125">
        <v>2.1504075281528703</v>
      </c>
      <c r="L4" s="125">
        <v>1.8017835941855065</v>
      </c>
      <c r="M4" s="125">
        <v>1.5772299676368717</v>
      </c>
      <c r="N4" s="125">
        <v>1.7756102554596396</v>
      </c>
      <c r="O4" s="125">
        <v>1.7928435284373589</v>
      </c>
      <c r="P4" s="125">
        <v>1.7162133959537327</v>
      </c>
    </row>
    <row r="5" spans="2:16" x14ac:dyDescent="0.25">
      <c r="I5" s="115" t="s">
        <v>127</v>
      </c>
      <c r="J5" s="125">
        <v>0.24787866812365492</v>
      </c>
      <c r="K5" s="125">
        <v>3.5152992172789479</v>
      </c>
      <c r="L5" s="125">
        <v>-2.1713362661064233</v>
      </c>
      <c r="M5" s="125">
        <v>0.63374167098682077</v>
      </c>
      <c r="N5" s="125">
        <v>0.40691366425515435</v>
      </c>
      <c r="O5" s="125">
        <v>0.4081932214159788</v>
      </c>
      <c r="P5" s="125">
        <v>0.72443904538393677</v>
      </c>
    </row>
    <row r="6" spans="2:16" x14ac:dyDescent="0.25">
      <c r="I6" s="115" t="s">
        <v>211</v>
      </c>
      <c r="J6" s="125">
        <f>J8-J4-J5-J7</f>
        <v>0.98558191106202431</v>
      </c>
      <c r="K6" s="125">
        <f t="shared" ref="K6:L6" si="0">K8-K4-K5-K7</f>
        <v>-1.2873678539773525</v>
      </c>
      <c r="L6" s="125">
        <f t="shared" si="0"/>
        <v>1.6947821414559385</v>
      </c>
      <c r="M6" s="125">
        <f t="shared" ref="M6" si="1">M8-M4-M5-M7</f>
        <v>-0.59824293975664511</v>
      </c>
      <c r="N6" s="125">
        <f t="shared" ref="N6" si="2">N8-N4-N5-N7</f>
        <v>-2.1300403608254248E-2</v>
      </c>
      <c r="O6" s="125">
        <f t="shared" ref="O6" si="3">O8-O4-O5-O7</f>
        <v>4.9761372617391331E-2</v>
      </c>
      <c r="P6" s="125">
        <f t="shared" ref="P6" si="4">P8-P4-P5-P7</f>
        <v>4.8825688270590639E-3</v>
      </c>
    </row>
    <row r="7" spans="2:16" x14ac:dyDescent="0.25">
      <c r="I7" s="115" t="s">
        <v>212</v>
      </c>
      <c r="J7" s="125">
        <v>-0.3580525449042587</v>
      </c>
      <c r="K7" s="125">
        <v>-0.54725411155262427</v>
      </c>
      <c r="L7" s="125">
        <v>1.9599202463784198</v>
      </c>
      <c r="M7" s="125">
        <v>1.7111774465867484</v>
      </c>
      <c r="N7" s="125">
        <v>1.8564000259707398</v>
      </c>
      <c r="O7" s="125">
        <v>2.1061289322137053</v>
      </c>
      <c r="P7" s="125">
        <v>1.3645910249021753</v>
      </c>
    </row>
    <row r="8" spans="2:16" x14ac:dyDescent="0.25">
      <c r="I8" s="115" t="s">
        <v>108</v>
      </c>
      <c r="J8" s="125">
        <v>2.5708525927792625</v>
      </c>
      <c r="K8" s="125">
        <v>3.8310847799018415</v>
      </c>
      <c r="L8" s="125">
        <v>3.2851497159134415</v>
      </c>
      <c r="M8" s="125">
        <v>3.3239061454537957</v>
      </c>
      <c r="N8" s="125">
        <v>4.0176235420772795</v>
      </c>
      <c r="O8" s="125">
        <v>4.3569270546844345</v>
      </c>
      <c r="P8" s="125">
        <v>3.8101260350669039</v>
      </c>
    </row>
    <row r="9" spans="2:16" x14ac:dyDescent="0.25">
      <c r="I9" s="115"/>
      <c r="J9" s="115"/>
      <c r="K9" s="115"/>
      <c r="L9" s="115"/>
      <c r="M9" s="115"/>
      <c r="N9" s="115"/>
      <c r="O9" s="115"/>
    </row>
    <row r="10" spans="2:16" x14ac:dyDescent="0.25">
      <c r="I10" s="115"/>
      <c r="J10" s="115"/>
      <c r="K10" s="115"/>
      <c r="L10" s="115"/>
      <c r="M10" s="115"/>
      <c r="N10" s="115"/>
      <c r="O10" s="115"/>
    </row>
    <row r="11" spans="2:16" ht="14.25" thickBot="1" x14ac:dyDescent="0.3">
      <c r="I11" s="134"/>
      <c r="J11" s="134">
        <v>2015</v>
      </c>
      <c r="K11" s="134">
        <v>2016</v>
      </c>
      <c r="L11" s="134" t="s">
        <v>268</v>
      </c>
      <c r="M11" s="134" t="s">
        <v>269</v>
      </c>
      <c r="N11" s="134" t="s">
        <v>270</v>
      </c>
      <c r="O11" s="134" t="s">
        <v>631</v>
      </c>
    </row>
    <row r="12" spans="2:16" x14ac:dyDescent="0.25">
      <c r="I12" s="122" t="s">
        <v>223</v>
      </c>
      <c r="J12" s="125">
        <v>4.2192403658053879E-2</v>
      </c>
      <c r="K12" s="125">
        <v>-4.3712289328599517E-2</v>
      </c>
      <c r="L12" s="125">
        <v>-3.1176420661519721E-2</v>
      </c>
      <c r="M12" s="125">
        <v>-3.0304826069815244E-2</v>
      </c>
      <c r="N12" s="125">
        <v>-2.9664486077911365E-2</v>
      </c>
      <c r="O12" s="125">
        <v>-2.9102675205796846E-2</v>
      </c>
    </row>
    <row r="13" spans="2:16" x14ac:dyDescent="0.25">
      <c r="I13" s="122" t="s">
        <v>224</v>
      </c>
      <c r="J13" s="125">
        <v>0.48377324236926972</v>
      </c>
      <c r="K13" s="125">
        <v>0.82510805669099763</v>
      </c>
      <c r="L13" s="125">
        <v>0.47962623796395776</v>
      </c>
      <c r="M13" s="125">
        <v>0.3122243786659803</v>
      </c>
      <c r="N13" s="125">
        <v>0.26461558958260384</v>
      </c>
      <c r="O13" s="125">
        <v>0.26511083118391116</v>
      </c>
    </row>
    <row r="14" spans="2:16" x14ac:dyDescent="0.25">
      <c r="I14" s="122" t="s">
        <v>225</v>
      </c>
      <c r="J14" s="125">
        <v>1.227583036494617</v>
      </c>
      <c r="K14" s="125">
        <v>1.0035741743736675</v>
      </c>
      <c r="L14" s="125">
        <v>1.1333076122046535</v>
      </c>
      <c r="M14" s="125">
        <v>0.63871931086682177</v>
      </c>
      <c r="N14" s="125">
        <v>0.54889724436449683</v>
      </c>
      <c r="O14" s="125">
        <v>0.55046847479396888</v>
      </c>
    </row>
    <row r="15" spans="2:16" x14ac:dyDescent="0.25">
      <c r="C15" s="929" t="s">
        <v>21</v>
      </c>
      <c r="D15" s="929"/>
      <c r="F15" s="929" t="s">
        <v>21</v>
      </c>
      <c r="G15" s="929"/>
      <c r="I15" s="122" t="s">
        <v>226</v>
      </c>
      <c r="J15" s="125">
        <v>0.26804321257819697</v>
      </c>
      <c r="K15" s="125">
        <v>0.35927002682284803</v>
      </c>
      <c r="L15" s="125">
        <v>0.14216666688208393</v>
      </c>
      <c r="M15" s="125">
        <v>0.10040366471587293</v>
      </c>
      <c r="N15" s="125">
        <v>3.9908504739295511E-2</v>
      </c>
      <c r="O15" s="125">
        <v>0</v>
      </c>
    </row>
    <row r="16" spans="2:16" x14ac:dyDescent="0.25">
      <c r="I16" s="122" t="s">
        <v>227</v>
      </c>
      <c r="J16" s="125">
        <v>-4.4756334370752167E-2</v>
      </c>
      <c r="K16" s="125">
        <v>0.23554351666470524</v>
      </c>
      <c r="L16" s="125">
        <v>0.12340670102182226</v>
      </c>
      <c r="M16" s="125">
        <v>0.11597946613443125</v>
      </c>
      <c r="N16" s="125">
        <v>8.7382791634310161E-2</v>
      </c>
      <c r="O16" s="125">
        <v>0.10954115849558532</v>
      </c>
    </row>
    <row r="17" spans="2:15" x14ac:dyDescent="0.25">
      <c r="I17" s="115" t="s">
        <v>228</v>
      </c>
      <c r="J17" s="125">
        <v>1.9768355607293842</v>
      </c>
      <c r="K17" s="125">
        <v>2.3797834852236299</v>
      </c>
      <c r="L17" s="125">
        <v>1.8473307974109732</v>
      </c>
      <c r="M17" s="125">
        <v>1.1370219943133142</v>
      </c>
      <c r="N17" s="125">
        <v>0.91113964424278659</v>
      </c>
      <c r="O17" s="125">
        <v>0.89601778926768905</v>
      </c>
    </row>
    <row r="18" spans="2:15" x14ac:dyDescent="0.25">
      <c r="I18" s="115"/>
      <c r="J18" s="115"/>
      <c r="K18" s="115"/>
      <c r="L18" s="115"/>
      <c r="M18" s="115"/>
      <c r="N18" s="115"/>
      <c r="O18" s="115"/>
    </row>
    <row r="20" spans="2:15" ht="14.25" thickBot="1" x14ac:dyDescent="0.3">
      <c r="I20" s="133"/>
      <c r="J20" s="134"/>
      <c r="K20" s="134"/>
      <c r="L20" s="134"/>
      <c r="M20" s="134"/>
      <c r="N20" s="134"/>
      <c r="O20" s="134"/>
    </row>
    <row r="21" spans="2:15" ht="14.25" thickBot="1" x14ac:dyDescent="0.3">
      <c r="B21" s="919" t="s">
        <v>1020</v>
      </c>
      <c r="C21" s="919"/>
      <c r="D21" s="653"/>
      <c r="E21" s="919" t="s">
        <v>1021</v>
      </c>
      <c r="F21" s="919"/>
      <c r="G21" s="919"/>
      <c r="I21" s="115" t="s">
        <v>371</v>
      </c>
      <c r="J21" s="125">
        <v>2.301154029103627</v>
      </c>
      <c r="K21" s="125">
        <v>1.9067237660181837</v>
      </c>
      <c r="L21" s="125">
        <v>1.5670822200437842</v>
      </c>
      <c r="M21" s="125">
        <v>1.7681999860903557</v>
      </c>
      <c r="N21" s="125">
        <v>1.6354152866920257</v>
      </c>
      <c r="O21" s="125">
        <v>1.6100754750341797</v>
      </c>
    </row>
    <row r="22" spans="2:15" ht="14.25" thickBot="1" x14ac:dyDescent="0.3">
      <c r="B22" s="734"/>
      <c r="C22" s="10"/>
      <c r="D22" s="735"/>
      <c r="E22" s="734"/>
      <c r="I22" s="115" t="s">
        <v>372</v>
      </c>
      <c r="J22" s="125">
        <v>0.7379160942670443</v>
      </c>
      <c r="K22" s="125">
        <v>2.9787088984706922</v>
      </c>
      <c r="L22" s="125">
        <v>0.20210941236104796</v>
      </c>
      <c r="M22" s="125">
        <v>0.3242630205999561</v>
      </c>
      <c r="N22" s="125">
        <v>0.2131626599132953</v>
      </c>
      <c r="O22" s="125">
        <v>0.44537896306591124</v>
      </c>
    </row>
    <row r="23" spans="2:15" x14ac:dyDescent="0.25">
      <c r="B23" s="84"/>
      <c r="C23" s="85"/>
      <c r="D23" s="463"/>
      <c r="E23" s="84"/>
      <c r="I23" s="115" t="s">
        <v>373</v>
      </c>
      <c r="J23" s="125">
        <v>-0.22222429302414445</v>
      </c>
      <c r="K23" s="125">
        <v>-0.65535800117386012</v>
      </c>
      <c r="L23" s="125">
        <v>-8.9652802881288005E-2</v>
      </c>
      <c r="M23" s="125">
        <v>-0.20245731641021483</v>
      </c>
      <c r="N23" s="125">
        <v>4.8952568357488999E-2</v>
      </c>
      <c r="O23" s="125">
        <v>-1.5543549944214587E-2</v>
      </c>
    </row>
    <row r="24" spans="2:15" x14ac:dyDescent="0.25">
      <c r="I24" s="115" t="s">
        <v>374</v>
      </c>
      <c r="J24" s="125">
        <v>-0.29491224287908696</v>
      </c>
      <c r="K24" s="125">
        <v>-0.63507159739180463</v>
      </c>
      <c r="L24" s="125">
        <v>1.5307826414508447</v>
      </c>
      <c r="M24" s="125">
        <v>1.7288869580706838</v>
      </c>
      <c r="N24" s="125">
        <v>2.1896427329483075</v>
      </c>
      <c r="O24" s="125">
        <v>2.5634736119786283</v>
      </c>
    </row>
    <row r="25" spans="2:15" x14ac:dyDescent="0.25">
      <c r="I25" s="115" t="s">
        <v>340</v>
      </c>
      <c r="J25" s="125">
        <v>2.5219335874674442</v>
      </c>
      <c r="K25" s="125">
        <v>3.5950030659232204</v>
      </c>
      <c r="L25" s="125">
        <v>3.2103214709743924</v>
      </c>
      <c r="M25" s="125">
        <v>3.6188926483507853</v>
      </c>
      <c r="N25" s="125">
        <v>4.0871732479111138</v>
      </c>
      <c r="O25" s="125">
        <v>4.5999999999999996</v>
      </c>
    </row>
    <row r="26" spans="2:15" x14ac:dyDescent="0.25">
      <c r="I26" s="115"/>
    </row>
    <row r="27" spans="2:15" x14ac:dyDescent="0.25">
      <c r="I27" s="115"/>
    </row>
    <row r="28" spans="2:15" ht="14.25" thickBot="1" x14ac:dyDescent="0.3">
      <c r="I28" s="134"/>
      <c r="J28" s="134"/>
      <c r="K28" s="134"/>
      <c r="L28" s="134"/>
      <c r="M28" s="134"/>
      <c r="N28" s="134"/>
      <c r="O28" s="134"/>
    </row>
    <row r="29" spans="2:15" x14ac:dyDescent="0.25">
      <c r="I29" s="122" t="s">
        <v>376</v>
      </c>
      <c r="J29" s="125">
        <v>4.2192403658053879E-2</v>
      </c>
      <c r="K29" s="125">
        <v>-4.3712289328599517E-2</v>
      </c>
      <c r="L29" s="125">
        <v>-3.1176420661519721E-2</v>
      </c>
      <c r="M29" s="125">
        <v>-3.0304826069815244E-2</v>
      </c>
      <c r="N29" s="125">
        <v>-2.9664486077911365E-2</v>
      </c>
      <c r="O29" s="125">
        <v>-2.9102675205796846E-2</v>
      </c>
    </row>
    <row r="30" spans="2:15" x14ac:dyDescent="0.25">
      <c r="I30" s="122" t="s">
        <v>377</v>
      </c>
      <c r="J30" s="125">
        <v>0.48377324236926972</v>
      </c>
      <c r="K30" s="125">
        <v>0.82510805669099763</v>
      </c>
      <c r="L30" s="125">
        <v>0.47962623796395776</v>
      </c>
      <c r="M30" s="125">
        <v>0.3122243786659803</v>
      </c>
      <c r="N30" s="125">
        <v>0.26461558958260384</v>
      </c>
      <c r="O30" s="125">
        <v>0.26511083118391116</v>
      </c>
    </row>
    <row r="31" spans="2:15" x14ac:dyDescent="0.25">
      <c r="I31" s="122" t="s">
        <v>378</v>
      </c>
      <c r="J31" s="125">
        <v>1.227583036494617</v>
      </c>
      <c r="K31" s="125">
        <v>1.0035741743736675</v>
      </c>
      <c r="L31" s="125">
        <v>1.1333076122046535</v>
      </c>
      <c r="M31" s="125">
        <v>0.63871931086682177</v>
      </c>
      <c r="N31" s="125">
        <v>0.54889724436449683</v>
      </c>
      <c r="O31" s="125">
        <v>0.55046847479396888</v>
      </c>
    </row>
    <row r="32" spans="2:15" x14ac:dyDescent="0.25">
      <c r="I32" s="122" t="s">
        <v>379</v>
      </c>
      <c r="J32" s="125">
        <v>0.26804321257819697</v>
      </c>
      <c r="K32" s="125">
        <v>0.35927002682284803</v>
      </c>
      <c r="L32" s="125">
        <v>0.14216666688208393</v>
      </c>
      <c r="M32" s="125">
        <v>0.10040366471587293</v>
      </c>
      <c r="N32" s="125">
        <v>3.9908504739295511E-2</v>
      </c>
      <c r="O32" s="125">
        <v>0</v>
      </c>
    </row>
    <row r="33" spans="3:15" x14ac:dyDescent="0.25">
      <c r="I33" s="122" t="s">
        <v>380</v>
      </c>
      <c r="J33" s="125">
        <v>-4.4756334370752167E-2</v>
      </c>
      <c r="K33" s="125">
        <v>0.23554351666470524</v>
      </c>
      <c r="L33" s="125">
        <v>0.12340670102182226</v>
      </c>
      <c r="M33" s="125">
        <v>0.11597946613443125</v>
      </c>
      <c r="N33" s="125">
        <v>8.7382791634310161E-2</v>
      </c>
      <c r="O33" s="125">
        <v>0.10954115849558532</v>
      </c>
    </row>
    <row r="34" spans="3:15" x14ac:dyDescent="0.25">
      <c r="C34" s="929" t="s">
        <v>345</v>
      </c>
      <c r="D34" s="929"/>
      <c r="F34" s="929" t="s">
        <v>345</v>
      </c>
      <c r="G34" s="929"/>
      <c r="I34" s="115" t="s">
        <v>381</v>
      </c>
      <c r="J34" s="125">
        <v>1.9768355607293842</v>
      </c>
      <c r="K34" s="125">
        <v>2.3797834852236299</v>
      </c>
      <c r="L34" s="125">
        <v>1.8473307974109732</v>
      </c>
      <c r="M34" s="125">
        <v>1.1370219943133142</v>
      </c>
      <c r="N34" s="125">
        <v>0.91113964424278659</v>
      </c>
      <c r="O34" s="125">
        <v>0.89601778926768905</v>
      </c>
    </row>
    <row r="35" spans="3:15" x14ac:dyDescent="0.25">
      <c r="J35" s="115"/>
      <c r="K35" s="115"/>
      <c r="L35" s="115"/>
      <c r="M35" s="115"/>
      <c r="N35" s="115"/>
      <c r="O35" s="115"/>
    </row>
  </sheetData>
  <mergeCells count="8">
    <mergeCell ref="C34:D34"/>
    <mergeCell ref="F34:G34"/>
    <mergeCell ref="E2:G2"/>
    <mergeCell ref="B2:C2"/>
    <mergeCell ref="B21:C21"/>
    <mergeCell ref="E21:G21"/>
    <mergeCell ref="C15:D15"/>
    <mergeCell ref="F15:G1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B4:X70"/>
  <sheetViews>
    <sheetView showGridLines="0" zoomScale="85" zoomScaleNormal="85" workbookViewId="0">
      <selection activeCell="Q29" sqref="Q29"/>
    </sheetView>
  </sheetViews>
  <sheetFormatPr defaultRowHeight="13.5" x14ac:dyDescent="0.25"/>
  <cols>
    <col min="1" max="1" width="9.140625" style="40"/>
    <col min="2" max="2" width="30.85546875" style="40" customWidth="1"/>
    <col min="3" max="3" width="17.140625" style="40" customWidth="1"/>
    <col min="4" max="4" width="9.140625" style="393"/>
    <col min="5" max="5" width="35.85546875" style="40" customWidth="1"/>
    <col min="6" max="6" width="15" style="40" customWidth="1"/>
    <col min="7" max="8" width="9.140625" style="40"/>
    <col min="9" max="9" width="11.5703125" style="115" bestFit="1" customWidth="1"/>
    <col min="10" max="17" width="9.7109375" style="115" bestFit="1" customWidth="1"/>
    <col min="18" max="21" width="9.140625" style="115"/>
    <col min="22" max="16384" width="9.140625" style="40"/>
  </cols>
  <sheetData>
    <row r="4" spans="2:21" ht="26.25" customHeight="1" thickBot="1" x14ac:dyDescent="0.3">
      <c r="B4" s="919" t="s">
        <v>1022</v>
      </c>
      <c r="C4" s="919"/>
      <c r="D4" s="653"/>
      <c r="E4" s="919" t="s">
        <v>1024</v>
      </c>
      <c r="F4" s="919"/>
      <c r="I4" s="134"/>
      <c r="J4" s="134">
        <v>2009</v>
      </c>
      <c r="K4" s="134">
        <v>2010</v>
      </c>
      <c r="L4" s="134">
        <v>2011</v>
      </c>
      <c r="M4" s="134">
        <v>2012</v>
      </c>
      <c r="N4" s="134">
        <v>2013</v>
      </c>
      <c r="O4" s="134">
        <v>2014</v>
      </c>
      <c r="P4" s="134">
        <v>2015</v>
      </c>
      <c r="Q4" s="135">
        <v>2016</v>
      </c>
      <c r="R4" s="135" t="s">
        <v>268</v>
      </c>
      <c r="S4" s="135" t="s">
        <v>269</v>
      </c>
      <c r="T4" s="135" t="s">
        <v>270</v>
      </c>
      <c r="U4" s="135" t="s">
        <v>631</v>
      </c>
    </row>
    <row r="5" spans="2:21" ht="14.25" thickBot="1" x14ac:dyDescent="0.3">
      <c r="B5" s="734"/>
      <c r="C5" s="10"/>
      <c r="D5" s="735"/>
      <c r="E5" s="734"/>
      <c r="I5" s="115" t="s">
        <v>254</v>
      </c>
      <c r="J5" s="125">
        <v>0.36219355355178773</v>
      </c>
      <c r="K5" s="125">
        <v>-0.11822474702912748</v>
      </c>
      <c r="L5" s="125">
        <v>-5.0875063805645659E-2</v>
      </c>
      <c r="M5" s="125">
        <v>3.4465751185170519</v>
      </c>
      <c r="N5" s="125">
        <v>4.060749740408462</v>
      </c>
      <c r="O5" s="125">
        <v>3.7639859620143388</v>
      </c>
      <c r="P5" s="125">
        <v>2.687971001964812</v>
      </c>
      <c r="Q5" s="125">
        <v>3.0053213890917139</v>
      </c>
      <c r="R5" s="400">
        <v>4.5999999999999996</v>
      </c>
      <c r="S5" s="400">
        <v>5.8</v>
      </c>
      <c r="T5" s="400">
        <v>7.1</v>
      </c>
      <c r="U5" s="115">
        <v>7.8</v>
      </c>
    </row>
    <row r="6" spans="2:21" x14ac:dyDescent="0.25">
      <c r="B6" s="84"/>
      <c r="C6" s="85"/>
      <c r="D6" s="463"/>
      <c r="E6" s="84"/>
      <c r="I6" s="115" t="s">
        <v>255</v>
      </c>
      <c r="J6" s="125">
        <v>-1.4104157451871724</v>
      </c>
      <c r="K6" s="125">
        <v>-0.96383353809020145</v>
      </c>
      <c r="L6" s="125">
        <v>-0.38170241746350625</v>
      </c>
      <c r="M6" s="125">
        <v>0.57961021975686111</v>
      </c>
      <c r="N6" s="125">
        <v>0.48194512381575949</v>
      </c>
      <c r="O6" s="125">
        <v>0.14282448823090552</v>
      </c>
      <c r="P6" s="125">
        <v>0.12061347340407873</v>
      </c>
      <c r="Q6" s="125">
        <v>0.41169495293856101</v>
      </c>
      <c r="R6" s="400">
        <v>0.5</v>
      </c>
      <c r="S6" s="400">
        <v>0.5</v>
      </c>
      <c r="T6" s="400">
        <v>0.5</v>
      </c>
      <c r="U6" s="115">
        <v>0.5</v>
      </c>
    </row>
    <row r="7" spans="2:21" x14ac:dyDescent="0.25">
      <c r="I7" s="115" t="s">
        <v>613</v>
      </c>
      <c r="J7" s="125">
        <v>-0.87642723753404461</v>
      </c>
      <c r="K7" s="125">
        <v>-2.7911181710716817</v>
      </c>
      <c r="L7" s="125">
        <v>-3.4059275992745635</v>
      </c>
      <c r="M7" s="125">
        <v>-1.6640231845630495</v>
      </c>
      <c r="N7" s="125">
        <v>-0.93174793605157802</v>
      </c>
      <c r="O7" s="125">
        <v>-1.1447575130658008</v>
      </c>
      <c r="P7" s="125">
        <v>-1.1782183819887768</v>
      </c>
      <c r="Q7" s="125">
        <v>-2.5505558437708449</v>
      </c>
      <c r="R7" s="400">
        <v>-2</v>
      </c>
      <c r="S7" s="400">
        <v>-2.5</v>
      </c>
      <c r="T7" s="400">
        <v>-2.9</v>
      </c>
      <c r="U7" s="115">
        <v>-3.2</v>
      </c>
    </row>
    <row r="8" spans="2:21" x14ac:dyDescent="0.25">
      <c r="I8" s="115" t="s">
        <v>612</v>
      </c>
      <c r="J8" s="125">
        <v>-1.5227580668766247</v>
      </c>
      <c r="K8" s="125">
        <v>-0.83770746059807966</v>
      </c>
      <c r="L8" s="125">
        <v>-1.1128312228899209</v>
      </c>
      <c r="M8" s="125">
        <v>-1.4217820144149362</v>
      </c>
      <c r="N8" s="125">
        <v>-1.7814963081079094</v>
      </c>
      <c r="O8" s="125">
        <v>-1.5716355596239235</v>
      </c>
      <c r="P8" s="125">
        <v>-1.4174421472998684</v>
      </c>
      <c r="Q8" s="125">
        <v>-1.4710714197485117</v>
      </c>
      <c r="R8" s="400">
        <v>-1.4</v>
      </c>
      <c r="S8" s="400">
        <v>-1.5</v>
      </c>
      <c r="T8" s="400">
        <v>-1.5</v>
      </c>
      <c r="U8" s="115">
        <v>-1.5</v>
      </c>
    </row>
    <row r="9" spans="2:21" x14ac:dyDescent="0.25">
      <c r="I9" s="167" t="s">
        <v>271</v>
      </c>
      <c r="J9" s="731">
        <v>-3.4474074960460568</v>
      </c>
      <c r="K9" s="731">
        <v>-4.7108839167890952</v>
      </c>
      <c r="L9" s="731">
        <v>-4.9513363034336235</v>
      </c>
      <c r="M9" s="731">
        <v>0.94038013929594322</v>
      </c>
      <c r="N9" s="731">
        <v>1.829450620064732</v>
      </c>
      <c r="O9" s="731">
        <v>1.1904173775555265</v>
      </c>
      <c r="P9" s="731">
        <v>0.21292394608023243</v>
      </c>
      <c r="Q9" s="731">
        <v>-0.60461092148909301</v>
      </c>
      <c r="R9" s="168">
        <v>1.7</v>
      </c>
      <c r="S9" s="168">
        <v>2.4</v>
      </c>
      <c r="T9" s="168">
        <v>3.2</v>
      </c>
      <c r="U9" s="167">
        <v>3.7</v>
      </c>
    </row>
    <row r="13" spans="2:21" ht="14.25" thickBot="1" x14ac:dyDescent="0.3">
      <c r="I13" s="136"/>
      <c r="J13" s="137">
        <v>2014</v>
      </c>
      <c r="K13" s="137">
        <v>2015</v>
      </c>
      <c r="L13" s="137">
        <v>2016</v>
      </c>
      <c r="M13" s="137" t="s">
        <v>268</v>
      </c>
      <c r="N13" s="137" t="s">
        <v>269</v>
      </c>
      <c r="O13" s="137" t="s">
        <v>270</v>
      </c>
      <c r="P13" s="137" t="s">
        <v>631</v>
      </c>
      <c r="Q13" s="117"/>
      <c r="R13" s="117"/>
      <c r="S13" s="117"/>
      <c r="T13" s="117"/>
      <c r="U13" s="117"/>
    </row>
    <row r="14" spans="2:21" x14ac:dyDescent="0.25">
      <c r="I14" s="118" t="s">
        <v>256</v>
      </c>
      <c r="J14" s="119">
        <v>-0.10724115046615143</v>
      </c>
      <c r="K14" s="119">
        <v>-0.30685544460117209</v>
      </c>
      <c r="L14" s="119">
        <v>-0.51947654708679458</v>
      </c>
      <c r="M14" s="119">
        <v>1.0950972835435557</v>
      </c>
      <c r="N14" s="119">
        <v>1.6775191223474151</v>
      </c>
      <c r="O14" s="119">
        <v>1.8944804694612127</v>
      </c>
      <c r="P14" s="119">
        <v>2.1311544952605121</v>
      </c>
    </row>
    <row r="15" spans="2:21" x14ac:dyDescent="0.25">
      <c r="I15" s="118" t="s">
        <v>257</v>
      </c>
      <c r="J15" s="119">
        <v>0.26658832754590783</v>
      </c>
      <c r="K15" s="119">
        <v>8.6094893216599952E-2</v>
      </c>
      <c r="L15" s="119">
        <v>0.45892263481685747</v>
      </c>
      <c r="M15" s="119">
        <v>1.1423262420594484</v>
      </c>
      <c r="N15" s="119">
        <v>1.2786410817071783</v>
      </c>
      <c r="O15" s="119">
        <v>1.5725036543301107</v>
      </c>
      <c r="P15" s="119">
        <v>1.7468263439999665</v>
      </c>
    </row>
    <row r="16" spans="2:21" x14ac:dyDescent="0.25">
      <c r="I16" s="118" t="s">
        <v>258</v>
      </c>
      <c r="J16" s="119">
        <v>-0.12349306005762417</v>
      </c>
      <c r="K16" s="119">
        <v>-6.2469102124757807E-2</v>
      </c>
      <c r="L16" s="119">
        <v>-0.32652382541412461</v>
      </c>
      <c r="M16" s="119">
        <v>0.26046912998791155</v>
      </c>
      <c r="N16" s="119">
        <v>0.16341635069565374</v>
      </c>
      <c r="O16" s="119">
        <v>0.2831115672470248</v>
      </c>
      <c r="P16" s="119">
        <v>0.34552307765107626</v>
      </c>
    </row>
    <row r="17" spans="2:21" x14ac:dyDescent="0.25">
      <c r="C17" s="458" t="s">
        <v>21</v>
      </c>
      <c r="F17" s="458" t="s">
        <v>21</v>
      </c>
      <c r="I17" s="118" t="s">
        <v>259</v>
      </c>
      <c r="J17" s="119">
        <v>-0.21215113165132043</v>
      </c>
      <c r="K17" s="119">
        <v>-0.35237593082336832</v>
      </c>
      <c r="L17" s="119">
        <v>-0.65187535648952744</v>
      </c>
      <c r="M17" s="119">
        <v>-0.22899100714636098</v>
      </c>
      <c r="N17" s="119">
        <v>0.15636274906735162</v>
      </c>
      <c r="O17" s="119">
        <v>3.8865247884077074E-2</v>
      </c>
      <c r="P17" s="119">
        <v>3.8805073609469498E-2</v>
      </c>
    </row>
    <row r="18" spans="2:21" x14ac:dyDescent="0.25">
      <c r="I18" s="118"/>
      <c r="J18" s="119"/>
      <c r="K18" s="119"/>
      <c r="L18" s="119"/>
      <c r="M18" s="119"/>
      <c r="N18" s="119"/>
      <c r="O18" s="119"/>
    </row>
    <row r="20" spans="2:21" ht="29.25" customHeight="1" thickBot="1" x14ac:dyDescent="0.3">
      <c r="B20" s="919" t="s">
        <v>1023</v>
      </c>
      <c r="C20" s="919"/>
      <c r="D20" s="653"/>
      <c r="E20" s="919" t="s">
        <v>1025</v>
      </c>
      <c r="F20" s="919"/>
      <c r="I20" s="134"/>
      <c r="J20" s="134">
        <v>2009</v>
      </c>
      <c r="K20" s="134">
        <v>2010</v>
      </c>
      <c r="L20" s="134">
        <v>2011</v>
      </c>
      <c r="M20" s="134">
        <v>2012</v>
      </c>
      <c r="N20" s="134">
        <v>2013</v>
      </c>
      <c r="O20" s="134">
        <v>2014</v>
      </c>
      <c r="P20" s="134">
        <v>2015</v>
      </c>
      <c r="Q20" s="135" t="s">
        <v>267</v>
      </c>
      <c r="R20" s="135" t="s">
        <v>268</v>
      </c>
      <c r="S20" s="135" t="s">
        <v>269</v>
      </c>
      <c r="T20" s="135" t="s">
        <v>270</v>
      </c>
      <c r="U20" s="135" t="s">
        <v>631</v>
      </c>
    </row>
    <row r="21" spans="2:21" x14ac:dyDescent="0.25">
      <c r="I21" s="115" t="s">
        <v>382</v>
      </c>
      <c r="J21" s="125">
        <v>0.36219355355178773</v>
      </c>
      <c r="K21" s="125">
        <v>-0.11822474702912748</v>
      </c>
      <c r="L21" s="125">
        <v>-5.0875063805645659E-2</v>
      </c>
      <c r="M21" s="125">
        <v>3.4465751185170519</v>
      </c>
      <c r="N21" s="125">
        <v>4.060749740408462</v>
      </c>
      <c r="O21" s="125">
        <v>3.7639859620143388</v>
      </c>
      <c r="P21" s="125">
        <v>2.687971001964812</v>
      </c>
      <c r="Q21" s="125">
        <v>3.0053213890917139</v>
      </c>
      <c r="R21" s="400">
        <v>4.5999999999999996</v>
      </c>
      <c r="S21" s="400">
        <v>5.8</v>
      </c>
      <c r="T21" s="400">
        <v>7.1</v>
      </c>
      <c r="U21" s="115">
        <v>7.8</v>
      </c>
    </row>
    <row r="22" spans="2:21" x14ac:dyDescent="0.25">
      <c r="I22" s="115" t="s">
        <v>383</v>
      </c>
      <c r="J22" s="125">
        <v>-1.4104157451871724</v>
      </c>
      <c r="K22" s="125">
        <v>-0.96383353809020145</v>
      </c>
      <c r="L22" s="125">
        <v>-0.38170241746350625</v>
      </c>
      <c r="M22" s="125">
        <v>0.57961021975686111</v>
      </c>
      <c r="N22" s="125">
        <v>0.48194512381575949</v>
      </c>
      <c r="O22" s="125">
        <v>0.14282448823090552</v>
      </c>
      <c r="P22" s="125">
        <v>0.12061347340407873</v>
      </c>
      <c r="Q22" s="125">
        <v>0.41169495293856101</v>
      </c>
      <c r="R22" s="400">
        <v>0.5</v>
      </c>
      <c r="S22" s="400">
        <v>0.5</v>
      </c>
      <c r="T22" s="400">
        <v>0.5</v>
      </c>
      <c r="U22" s="115">
        <v>0.5</v>
      </c>
    </row>
    <row r="23" spans="2:21" x14ac:dyDescent="0.25">
      <c r="I23" s="115" t="s">
        <v>614</v>
      </c>
      <c r="J23" s="125">
        <v>-0.87642723753404461</v>
      </c>
      <c r="K23" s="125">
        <v>-2.7911181710716817</v>
      </c>
      <c r="L23" s="125">
        <v>-3.4059275992745635</v>
      </c>
      <c r="M23" s="125">
        <v>-1.6640231845630495</v>
      </c>
      <c r="N23" s="125">
        <v>-0.93174793605157802</v>
      </c>
      <c r="O23" s="125">
        <v>-1.1447575130658008</v>
      </c>
      <c r="P23" s="125">
        <v>-1.1782183819887768</v>
      </c>
      <c r="Q23" s="125">
        <v>-2.5505558437708449</v>
      </c>
      <c r="R23" s="400">
        <v>-2</v>
      </c>
      <c r="S23" s="400">
        <v>-2.5</v>
      </c>
      <c r="T23" s="400">
        <v>-2.9</v>
      </c>
      <c r="U23" s="115">
        <v>-3.2</v>
      </c>
    </row>
    <row r="24" spans="2:21" x14ac:dyDescent="0.25">
      <c r="I24" s="115" t="s">
        <v>615</v>
      </c>
      <c r="J24" s="125">
        <v>-1.5227580668766247</v>
      </c>
      <c r="K24" s="125">
        <v>-0.83770746059807966</v>
      </c>
      <c r="L24" s="125">
        <v>-1.1128312228899209</v>
      </c>
      <c r="M24" s="125">
        <v>-1.4217820144149362</v>
      </c>
      <c r="N24" s="125">
        <v>-1.7814963081079094</v>
      </c>
      <c r="O24" s="125">
        <v>-1.5716355596239235</v>
      </c>
      <c r="P24" s="125">
        <v>-1.4174421472998684</v>
      </c>
      <c r="Q24" s="125">
        <v>-1.4710714197485117</v>
      </c>
      <c r="R24" s="400">
        <v>-1.4</v>
      </c>
      <c r="S24" s="400">
        <v>-1.5</v>
      </c>
      <c r="T24" s="400">
        <v>-1.5</v>
      </c>
      <c r="U24" s="115">
        <v>-1.5</v>
      </c>
    </row>
    <row r="25" spans="2:21" x14ac:dyDescent="0.25">
      <c r="I25" s="115" t="s">
        <v>384</v>
      </c>
      <c r="J25" s="125">
        <v>-3.4474074960460568</v>
      </c>
      <c r="K25" s="125">
        <v>-4.7108839167890952</v>
      </c>
      <c r="L25" s="125">
        <v>-4.9513363034336235</v>
      </c>
      <c r="M25" s="125">
        <v>0.94038013929594322</v>
      </c>
      <c r="N25" s="125">
        <v>1.829450620064732</v>
      </c>
      <c r="O25" s="125">
        <v>1.1904173775555265</v>
      </c>
      <c r="P25" s="125">
        <v>0.21292394608023243</v>
      </c>
      <c r="Q25" s="125">
        <v>-0.60461092148909301</v>
      </c>
      <c r="R25" s="166">
        <v>1.7</v>
      </c>
      <c r="S25" s="166">
        <v>2.4</v>
      </c>
      <c r="T25" s="166">
        <v>3.2</v>
      </c>
      <c r="U25" s="115">
        <v>3.7</v>
      </c>
    </row>
    <row r="29" spans="2:21" ht="14.25" thickBot="1" x14ac:dyDescent="0.3">
      <c r="I29" s="136"/>
      <c r="J29" s="137">
        <v>2014</v>
      </c>
      <c r="K29" s="137">
        <v>2015</v>
      </c>
      <c r="L29" s="137">
        <v>2016</v>
      </c>
      <c r="M29" s="137" t="s">
        <v>268</v>
      </c>
      <c r="N29" s="137" t="s">
        <v>269</v>
      </c>
      <c r="O29" s="137" t="s">
        <v>270</v>
      </c>
      <c r="P29" s="137" t="s">
        <v>631</v>
      </c>
    </row>
    <row r="30" spans="2:21" x14ac:dyDescent="0.25">
      <c r="I30" s="115" t="s">
        <v>385</v>
      </c>
      <c r="J30" s="119">
        <v>-0.10724115046615143</v>
      </c>
      <c r="K30" s="119">
        <v>-0.30685544460117209</v>
      </c>
      <c r="L30" s="119">
        <v>-0.51947654708679458</v>
      </c>
      <c r="M30" s="119">
        <v>1.0950972835435557</v>
      </c>
      <c r="N30" s="119">
        <v>1.6775191223474151</v>
      </c>
      <c r="O30" s="119">
        <v>1.8944804694612127</v>
      </c>
      <c r="P30" s="119">
        <v>2.1311544952605121</v>
      </c>
    </row>
    <row r="31" spans="2:21" x14ac:dyDescent="0.25">
      <c r="I31" s="115" t="s">
        <v>386</v>
      </c>
      <c r="J31" s="119">
        <v>0.26658832754590783</v>
      </c>
      <c r="K31" s="119">
        <v>8.6094893216599952E-2</v>
      </c>
      <c r="L31" s="119">
        <v>0.45892263481685747</v>
      </c>
      <c r="M31" s="119">
        <v>1.1423262420594484</v>
      </c>
      <c r="N31" s="119">
        <v>1.2786410817071783</v>
      </c>
      <c r="O31" s="119">
        <v>1.5725036543301107</v>
      </c>
      <c r="P31" s="119">
        <v>1.7468263439999665</v>
      </c>
    </row>
    <row r="32" spans="2:21" x14ac:dyDescent="0.25">
      <c r="I32" s="115" t="s">
        <v>387</v>
      </c>
      <c r="J32" s="119">
        <v>-0.12349306005762417</v>
      </c>
      <c r="K32" s="119">
        <v>-6.2469102124757807E-2</v>
      </c>
      <c r="L32" s="119">
        <v>-0.32652382541412461</v>
      </c>
      <c r="M32" s="119">
        <v>0.26046912998791155</v>
      </c>
      <c r="N32" s="119">
        <v>0.16341635069565374</v>
      </c>
      <c r="O32" s="119">
        <v>0.2831115672470248</v>
      </c>
      <c r="P32" s="119">
        <v>0.34552307765107626</v>
      </c>
    </row>
    <row r="33" spans="2:16" x14ac:dyDescent="0.25">
      <c r="I33" s="115" t="s">
        <v>388</v>
      </c>
      <c r="J33" s="119">
        <v>-0.21215113165132043</v>
      </c>
      <c r="K33" s="119">
        <v>-0.35237593082336832</v>
      </c>
      <c r="L33" s="119">
        <v>-0.65187535648952744</v>
      </c>
      <c r="M33" s="119">
        <v>-0.22899100714636098</v>
      </c>
      <c r="N33" s="119">
        <v>0.15636274906735162</v>
      </c>
      <c r="O33" s="119">
        <v>3.8865247884077074E-2</v>
      </c>
      <c r="P33" s="119">
        <v>3.8805073609469498E-2</v>
      </c>
    </row>
    <row r="34" spans="2:16" x14ac:dyDescent="0.25">
      <c r="B34" s="115"/>
      <c r="C34" s="458" t="s">
        <v>345</v>
      </c>
      <c r="D34" s="143"/>
      <c r="F34" s="458" t="s">
        <v>345</v>
      </c>
    </row>
    <row r="35" spans="2:16" x14ac:dyDescent="0.25">
      <c r="C35" s="115"/>
    </row>
    <row r="38" spans="2:16" x14ac:dyDescent="0.25">
      <c r="I38" s="40"/>
    </row>
    <row r="39" spans="2:16" x14ac:dyDescent="0.25">
      <c r="I39" s="40"/>
    </row>
    <row r="40" spans="2:16" x14ac:dyDescent="0.25">
      <c r="I40" s="40"/>
      <c r="J40" s="732"/>
      <c r="K40" s="732"/>
      <c r="L40" s="732"/>
      <c r="M40" s="732"/>
      <c r="N40" s="732"/>
    </row>
    <row r="41" spans="2:16" x14ac:dyDescent="0.25">
      <c r="I41" s="40"/>
      <c r="J41" s="732"/>
      <c r="K41" s="732"/>
      <c r="L41" s="732"/>
      <c r="M41" s="732"/>
      <c r="N41" s="732"/>
    </row>
    <row r="42" spans="2:16" x14ac:dyDescent="0.25">
      <c r="I42" s="40"/>
      <c r="J42" s="732"/>
      <c r="K42" s="732"/>
      <c r="L42" s="732"/>
      <c r="M42" s="732"/>
      <c r="N42" s="732"/>
    </row>
    <row r="43" spans="2:16" x14ac:dyDescent="0.25">
      <c r="I43" s="40"/>
      <c r="J43" s="732"/>
      <c r="K43" s="732"/>
      <c r="L43" s="732"/>
      <c r="M43" s="732"/>
      <c r="N43" s="732"/>
    </row>
    <row r="44" spans="2:16" x14ac:dyDescent="0.25">
      <c r="I44" s="40"/>
      <c r="J44" s="732"/>
      <c r="K44" s="732"/>
      <c r="L44" s="732"/>
      <c r="M44" s="732"/>
      <c r="N44" s="732"/>
    </row>
    <row r="45" spans="2:16" x14ac:dyDescent="0.25">
      <c r="I45" s="40"/>
      <c r="J45" s="732"/>
      <c r="K45" s="732"/>
      <c r="L45" s="732"/>
      <c r="M45" s="732"/>
      <c r="N45" s="732"/>
    </row>
    <row r="46" spans="2:16" x14ac:dyDescent="0.25">
      <c r="I46" s="40"/>
      <c r="J46" s="732"/>
      <c r="K46" s="732"/>
      <c r="L46" s="732"/>
      <c r="M46" s="732"/>
      <c r="N46" s="732"/>
    </row>
    <row r="47" spans="2:16" x14ac:dyDescent="0.25">
      <c r="I47" s="40"/>
      <c r="J47" s="732"/>
      <c r="K47" s="732"/>
      <c r="L47" s="732"/>
      <c r="M47" s="732"/>
      <c r="N47" s="732"/>
    </row>
    <row r="48" spans="2:16" x14ac:dyDescent="0.25">
      <c r="I48" s="40"/>
      <c r="J48" s="732"/>
      <c r="K48" s="732"/>
      <c r="L48" s="732"/>
      <c r="M48" s="732"/>
      <c r="N48" s="732"/>
    </row>
    <row r="49" spans="9:24" x14ac:dyDescent="0.25">
      <c r="I49" s="40"/>
      <c r="J49" s="732"/>
      <c r="K49" s="732"/>
      <c r="L49" s="732"/>
      <c r="M49" s="732"/>
      <c r="N49" s="732"/>
    </row>
    <row r="50" spans="9:24" x14ac:dyDescent="0.25">
      <c r="I50" s="40"/>
      <c r="J50" s="732"/>
      <c r="K50" s="732"/>
      <c r="L50" s="732"/>
      <c r="M50" s="732"/>
      <c r="N50" s="732"/>
      <c r="V50" s="115"/>
      <c r="W50" s="733"/>
      <c r="X50" s="733"/>
    </row>
    <row r="51" spans="9:24" x14ac:dyDescent="0.25">
      <c r="I51" s="40"/>
      <c r="J51" s="732"/>
      <c r="K51" s="732"/>
      <c r="L51" s="732"/>
      <c r="M51" s="732"/>
      <c r="N51" s="732"/>
      <c r="V51" s="115"/>
      <c r="W51" s="733"/>
      <c r="X51" s="733"/>
    </row>
    <row r="52" spans="9:24" x14ac:dyDescent="0.25">
      <c r="I52" s="40"/>
      <c r="J52" s="732"/>
      <c r="K52" s="732"/>
      <c r="L52" s="732"/>
      <c r="M52" s="732"/>
      <c r="N52" s="732"/>
      <c r="V52" s="115"/>
      <c r="W52" s="733"/>
      <c r="X52" s="733"/>
    </row>
    <row r="53" spans="9:24" x14ac:dyDescent="0.25">
      <c r="I53" s="40"/>
      <c r="V53" s="115"/>
      <c r="W53" s="733"/>
      <c r="X53" s="733"/>
    </row>
    <row r="54" spans="9:24" x14ac:dyDescent="0.25">
      <c r="I54" s="40"/>
      <c r="V54" s="115"/>
      <c r="W54" s="733"/>
      <c r="X54" s="733"/>
    </row>
    <row r="55" spans="9:24" x14ac:dyDescent="0.25">
      <c r="I55" s="40"/>
    </row>
    <row r="56" spans="9:24" x14ac:dyDescent="0.25">
      <c r="I56" s="40"/>
    </row>
    <row r="57" spans="9:24" x14ac:dyDescent="0.25">
      <c r="I57" s="40"/>
    </row>
    <row r="58" spans="9:24" x14ac:dyDescent="0.25">
      <c r="I58" s="40"/>
    </row>
    <row r="59" spans="9:24" x14ac:dyDescent="0.25">
      <c r="I59" s="40"/>
    </row>
    <row r="60" spans="9:24" x14ac:dyDescent="0.25">
      <c r="I60" s="40"/>
    </row>
    <row r="61" spans="9:24" x14ac:dyDescent="0.25">
      <c r="I61" s="40"/>
    </row>
    <row r="62" spans="9:24" x14ac:dyDescent="0.25">
      <c r="I62" s="40"/>
    </row>
    <row r="63" spans="9:24" x14ac:dyDescent="0.25">
      <c r="I63" s="40"/>
    </row>
    <row r="64" spans="9:24" x14ac:dyDescent="0.25">
      <c r="I64" s="40"/>
    </row>
    <row r="65" spans="9:9" x14ac:dyDescent="0.25">
      <c r="I65" s="40"/>
    </row>
    <row r="66" spans="9:9" x14ac:dyDescent="0.25">
      <c r="I66" s="40"/>
    </row>
    <row r="67" spans="9:9" x14ac:dyDescent="0.25">
      <c r="I67" s="40"/>
    </row>
    <row r="68" spans="9:9" x14ac:dyDescent="0.25">
      <c r="I68" s="40"/>
    </row>
    <row r="69" spans="9:9" x14ac:dyDescent="0.25">
      <c r="I69" s="40"/>
    </row>
    <row r="70" spans="9:9" x14ac:dyDescent="0.25">
      <c r="I70" s="40"/>
    </row>
  </sheetData>
  <mergeCells count="4">
    <mergeCell ref="B4:C4"/>
    <mergeCell ref="E4:F4"/>
    <mergeCell ref="B20:C20"/>
    <mergeCell ref="E20:F2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B4:X28"/>
  <sheetViews>
    <sheetView showGridLines="0" zoomScale="85" zoomScaleNormal="85" workbookViewId="0">
      <selection activeCell="H25" sqref="H25"/>
    </sheetView>
  </sheetViews>
  <sheetFormatPr defaultRowHeight="13.5" x14ac:dyDescent="0.25"/>
  <cols>
    <col min="1" max="1" width="9.140625" style="40"/>
    <col min="2" max="2" width="54.140625" style="40" customWidth="1"/>
    <col min="3" max="3" width="8.5703125" style="40" customWidth="1"/>
    <col min="4" max="7" width="9.140625" style="40"/>
    <col min="8" max="8" width="18.28515625" style="40" customWidth="1"/>
    <col min="9" max="10" width="9.140625" style="40"/>
    <col min="11" max="11" width="11.140625" style="40" bestFit="1" customWidth="1"/>
    <col min="12" max="16384" width="9.140625" style="40"/>
  </cols>
  <sheetData>
    <row r="4" spans="2:24" ht="45.75" customHeight="1" thickBot="1" x14ac:dyDescent="0.3">
      <c r="B4" s="719" t="s">
        <v>1611</v>
      </c>
      <c r="C4" s="720"/>
      <c r="D4" s="897" t="s">
        <v>529</v>
      </c>
      <c r="E4" s="897"/>
      <c r="F4" s="897"/>
      <c r="G4" s="897"/>
      <c r="H4" s="897"/>
    </row>
    <row r="5" spans="2:24" ht="27.75" thickBot="1" x14ac:dyDescent="0.3">
      <c r="B5" s="935"/>
      <c r="C5" s="416"/>
      <c r="D5" s="724"/>
      <c r="E5" s="721" t="s">
        <v>272</v>
      </c>
      <c r="F5" s="722" t="s">
        <v>286</v>
      </c>
      <c r="G5" s="723" t="s">
        <v>273</v>
      </c>
      <c r="H5" s="722" t="s">
        <v>274</v>
      </c>
    </row>
    <row r="6" spans="2:24" ht="14.25" thickBot="1" x14ac:dyDescent="0.3">
      <c r="B6" s="936"/>
      <c r="C6" s="714"/>
      <c r="D6" s="145">
        <v>2012</v>
      </c>
      <c r="E6" s="226">
        <v>2.5531470000000001</v>
      </c>
      <c r="F6" s="725">
        <v>1.871426</v>
      </c>
      <c r="G6" s="725">
        <v>0.22630600000000001</v>
      </c>
      <c r="H6" s="726">
        <v>0.44289299999999998</v>
      </c>
      <c r="K6" s="52"/>
      <c r="L6" s="53">
        <v>2009</v>
      </c>
      <c r="M6" s="138">
        <v>2010</v>
      </c>
      <c r="N6" s="138">
        <v>2011</v>
      </c>
      <c r="O6" s="138">
        <v>2012</v>
      </c>
      <c r="P6" s="138">
        <v>2013</v>
      </c>
      <c r="Q6" s="138">
        <v>2014</v>
      </c>
      <c r="R6" s="138">
        <v>2015</v>
      </c>
      <c r="S6" s="138">
        <v>2016</v>
      </c>
      <c r="T6" s="138" t="s">
        <v>268</v>
      </c>
      <c r="U6" s="138" t="s">
        <v>269</v>
      </c>
      <c r="V6" s="138" t="s">
        <v>270</v>
      </c>
      <c r="W6" s="138" t="s">
        <v>631</v>
      </c>
      <c r="X6" s="727"/>
    </row>
    <row r="7" spans="2:24" x14ac:dyDescent="0.25">
      <c r="B7" s="936"/>
      <c r="C7" s="714"/>
      <c r="D7" s="145">
        <v>2013</v>
      </c>
      <c r="E7" s="226">
        <v>2.1572619999999998</v>
      </c>
      <c r="F7" s="725">
        <v>1.8646609999999999</v>
      </c>
      <c r="G7" s="725">
        <v>1.6768999999999999E-2</v>
      </c>
      <c r="H7" s="726">
        <v>0.27062999999999998</v>
      </c>
      <c r="K7" s="120" t="s">
        <v>277</v>
      </c>
      <c r="L7" s="49">
        <v>0.69422300000000003</v>
      </c>
      <c r="M7" s="49">
        <v>0.62936800000000004</v>
      </c>
      <c r="N7" s="49">
        <v>0.63905599999999996</v>
      </c>
      <c r="O7" s="49">
        <v>0.44289299999999998</v>
      </c>
      <c r="P7" s="49">
        <v>0.27062999999999998</v>
      </c>
      <c r="Q7" s="49">
        <v>0.23719899999999999</v>
      </c>
      <c r="R7" s="49">
        <v>0.33785500000000002</v>
      </c>
      <c r="S7" s="49">
        <v>0.58932300000000004</v>
      </c>
      <c r="T7" s="49">
        <v>0.63254500000000002</v>
      </c>
      <c r="U7" s="49">
        <v>0.75306399999999996</v>
      </c>
      <c r="V7" s="49">
        <v>0.40258699999999997</v>
      </c>
      <c r="W7" s="49">
        <v>0.151615</v>
      </c>
    </row>
    <row r="8" spans="2:24" x14ac:dyDescent="0.25">
      <c r="B8" s="936"/>
      <c r="C8" s="714"/>
      <c r="D8" s="145">
        <v>2014</v>
      </c>
      <c r="E8" s="226">
        <v>1.985833</v>
      </c>
      <c r="F8" s="725">
        <v>1.8597220000000001</v>
      </c>
      <c r="G8" s="725">
        <v>-0.11285199999999999</v>
      </c>
      <c r="H8" s="726">
        <v>0.23719899999999999</v>
      </c>
      <c r="K8" s="120" t="s">
        <v>278</v>
      </c>
      <c r="L8" s="49">
        <v>0.31681300000000001</v>
      </c>
      <c r="M8" s="49">
        <v>0.46024100000000001</v>
      </c>
      <c r="N8" s="49">
        <v>0.82340199999999997</v>
      </c>
      <c r="O8" s="49">
        <v>0.22630600000000001</v>
      </c>
      <c r="P8" s="49">
        <v>1.6768999999999999E-2</v>
      </c>
      <c r="Q8" s="49">
        <v>-0.11285199999999999</v>
      </c>
      <c r="R8" s="49">
        <v>0.56066400000000005</v>
      </c>
      <c r="S8" s="49">
        <v>0.12138500000000001</v>
      </c>
      <c r="T8" s="49">
        <v>0.24384</v>
      </c>
      <c r="U8" s="49">
        <v>0.30064800000000003</v>
      </c>
      <c r="V8" s="49">
        <v>0.35507</v>
      </c>
      <c r="W8" s="49">
        <v>0.47959400000000002</v>
      </c>
    </row>
    <row r="9" spans="2:24" x14ac:dyDescent="0.25">
      <c r="B9" s="936"/>
      <c r="C9" s="714"/>
      <c r="D9" s="145">
        <v>2015</v>
      </c>
      <c r="E9" s="226">
        <v>2.8817300000000001</v>
      </c>
      <c r="F9" s="725">
        <v>1.966882</v>
      </c>
      <c r="G9" s="725">
        <v>0.56066400000000005</v>
      </c>
      <c r="H9" s="726">
        <v>0.33785500000000002</v>
      </c>
      <c r="K9" s="120" t="s">
        <v>279</v>
      </c>
      <c r="L9" s="49">
        <v>2.4313060000000002</v>
      </c>
      <c r="M9" s="49">
        <v>2.2632289999999999</v>
      </c>
      <c r="N9" s="49">
        <v>1.9569540000000001</v>
      </c>
      <c r="O9" s="49">
        <v>1.871426</v>
      </c>
      <c r="P9" s="49">
        <v>1.8646609999999999</v>
      </c>
      <c r="Q9" s="49">
        <v>1.8597220000000001</v>
      </c>
      <c r="R9" s="49">
        <v>1.966882</v>
      </c>
      <c r="S9" s="49">
        <v>2.1179480000000002</v>
      </c>
      <c r="T9" s="49">
        <v>2.3432360000000001</v>
      </c>
      <c r="U9" s="49">
        <v>2.5684300000000002</v>
      </c>
      <c r="V9" s="49">
        <v>2.7376019999999999</v>
      </c>
      <c r="W9" s="49">
        <v>2.8245119999999999</v>
      </c>
    </row>
    <row r="10" spans="2:24" ht="14.25" thickBot="1" x14ac:dyDescent="0.3">
      <c r="B10" s="936"/>
      <c r="C10" s="714"/>
      <c r="D10" s="712">
        <v>2016</v>
      </c>
      <c r="E10" s="728">
        <v>2.8433459999999999</v>
      </c>
      <c r="F10" s="729">
        <v>2.1179480000000002</v>
      </c>
      <c r="G10" s="729">
        <v>0.12138500000000001</v>
      </c>
      <c r="H10" s="730">
        <v>0.58932300000000004</v>
      </c>
      <c r="K10" s="120" t="s">
        <v>280</v>
      </c>
      <c r="L10" s="49">
        <v>3.4668920000000001</v>
      </c>
      <c r="M10" s="49">
        <v>3.3773610000000001</v>
      </c>
      <c r="N10" s="49">
        <v>3.4458950000000002</v>
      </c>
      <c r="O10" s="49">
        <v>2.5531470000000001</v>
      </c>
      <c r="P10" s="49">
        <v>2.1572619999999998</v>
      </c>
      <c r="Q10" s="49">
        <v>1.985833</v>
      </c>
      <c r="R10" s="49">
        <v>2.8817300000000001</v>
      </c>
      <c r="S10" s="49">
        <v>2.8433459999999999</v>
      </c>
      <c r="T10" s="49">
        <v>3.2400679999999999</v>
      </c>
      <c r="U10" s="49">
        <v>3.6491020000000001</v>
      </c>
      <c r="V10" s="49">
        <v>3.5158200000000002</v>
      </c>
      <c r="W10" s="49">
        <v>3.4720499999999999</v>
      </c>
    </row>
    <row r="11" spans="2:24" x14ac:dyDescent="0.25">
      <c r="B11" s="936"/>
      <c r="C11" s="714"/>
      <c r="D11" s="145" t="s">
        <v>268</v>
      </c>
      <c r="E11" s="226">
        <v>3.2400679999999999</v>
      </c>
      <c r="F11" s="725">
        <v>2.3432360000000001</v>
      </c>
      <c r="G11" s="725">
        <v>0.24384</v>
      </c>
      <c r="H11" s="726">
        <v>0.63254500000000002</v>
      </c>
    </row>
    <row r="12" spans="2:24" ht="14.25" thickBot="1" x14ac:dyDescent="0.3">
      <c r="B12" s="936"/>
      <c r="C12" s="714"/>
      <c r="D12" s="145" t="s">
        <v>269</v>
      </c>
      <c r="E12" s="226">
        <v>3.6491020000000001</v>
      </c>
      <c r="F12" s="725">
        <v>2.5684300000000002</v>
      </c>
      <c r="G12" s="725">
        <v>0.30064800000000003</v>
      </c>
      <c r="H12" s="726">
        <v>0.75306399999999996</v>
      </c>
      <c r="K12" s="52"/>
      <c r="L12" s="53">
        <v>2009</v>
      </c>
      <c r="M12" s="138">
        <v>2010</v>
      </c>
      <c r="N12" s="138">
        <v>2011</v>
      </c>
      <c r="O12" s="138">
        <v>2012</v>
      </c>
      <c r="P12" s="138">
        <v>2013</v>
      </c>
      <c r="Q12" s="138">
        <v>2014</v>
      </c>
      <c r="R12" s="138">
        <v>2015</v>
      </c>
      <c r="S12" s="138">
        <v>2016</v>
      </c>
      <c r="T12" s="138" t="s">
        <v>268</v>
      </c>
      <c r="U12" s="138" t="s">
        <v>269</v>
      </c>
      <c r="V12" s="138" t="s">
        <v>270</v>
      </c>
      <c r="W12" s="138" t="s">
        <v>631</v>
      </c>
    </row>
    <row r="13" spans="2:24" x14ac:dyDescent="0.25">
      <c r="B13" s="936"/>
      <c r="C13" s="714"/>
      <c r="D13" s="145" t="s">
        <v>270</v>
      </c>
      <c r="E13" s="226">
        <v>3.5158200000000002</v>
      </c>
      <c r="F13" s="725">
        <v>2.7376019999999999</v>
      </c>
      <c r="G13" s="725">
        <v>0.35507</v>
      </c>
      <c r="H13" s="726">
        <v>0.40258699999999997</v>
      </c>
      <c r="K13" s="120" t="s">
        <v>421</v>
      </c>
      <c r="L13" s="49">
        <v>0.69422300000000003</v>
      </c>
      <c r="M13" s="49">
        <v>0.62936800000000004</v>
      </c>
      <c r="N13" s="49">
        <v>0.63905599999999996</v>
      </c>
      <c r="O13" s="49">
        <v>0.44289299999999998</v>
      </c>
      <c r="P13" s="49">
        <v>0.27062999999999998</v>
      </c>
      <c r="Q13" s="49">
        <v>0.23719899999999999</v>
      </c>
      <c r="R13" s="49">
        <v>0.33785500000000002</v>
      </c>
      <c r="S13" s="49">
        <v>0.58932300000000004</v>
      </c>
      <c r="T13" s="49">
        <v>0.63254500000000002</v>
      </c>
      <c r="U13" s="49">
        <v>0.75306399999999996</v>
      </c>
      <c r="V13" s="49">
        <v>0.40258699999999997</v>
      </c>
      <c r="W13" s="49">
        <v>0.151615</v>
      </c>
    </row>
    <row r="14" spans="2:24" ht="14.25" thickBot="1" x14ac:dyDescent="0.3">
      <c r="B14" s="937"/>
      <c r="C14" s="416"/>
      <c r="D14" s="712" t="s">
        <v>631</v>
      </c>
      <c r="E14" s="728">
        <v>3.4720499999999999</v>
      </c>
      <c r="F14" s="729">
        <v>2.8245119999999999</v>
      </c>
      <c r="G14" s="729">
        <v>0.47959400000000002</v>
      </c>
      <c r="H14" s="730">
        <v>0.151615</v>
      </c>
      <c r="K14" s="120" t="s">
        <v>422</v>
      </c>
      <c r="L14" s="49">
        <v>0.31681300000000001</v>
      </c>
      <c r="M14" s="49">
        <v>0.46024100000000001</v>
      </c>
      <c r="N14" s="49">
        <v>0.82340199999999997</v>
      </c>
      <c r="O14" s="49">
        <v>0.22630600000000001</v>
      </c>
      <c r="P14" s="49">
        <v>1.6768999999999999E-2</v>
      </c>
      <c r="Q14" s="49">
        <v>-0.11285199999999999</v>
      </c>
      <c r="R14" s="49">
        <v>0.56066400000000005</v>
      </c>
      <c r="S14" s="49">
        <v>0.12138500000000001</v>
      </c>
      <c r="T14" s="49">
        <v>0.24384</v>
      </c>
      <c r="U14" s="49">
        <v>0.30064800000000003</v>
      </c>
      <c r="V14" s="49">
        <v>0.35507</v>
      </c>
      <c r="W14" s="49">
        <v>0.47959400000000002</v>
      </c>
    </row>
    <row r="15" spans="2:24" x14ac:dyDescent="0.25">
      <c r="B15" s="458" t="s">
        <v>21</v>
      </c>
      <c r="C15" s="87"/>
      <c r="D15" s="938" t="s">
        <v>21</v>
      </c>
      <c r="E15" s="938"/>
      <c r="F15" s="938"/>
      <c r="G15" s="938"/>
      <c r="H15" s="938"/>
      <c r="K15" s="120" t="s">
        <v>279</v>
      </c>
      <c r="L15" s="49">
        <v>2.4313060000000002</v>
      </c>
      <c r="M15" s="49">
        <v>2.2632289999999999</v>
      </c>
      <c r="N15" s="49">
        <v>1.9569540000000001</v>
      </c>
      <c r="O15" s="49">
        <v>1.871426</v>
      </c>
      <c r="P15" s="49">
        <v>1.8646609999999999</v>
      </c>
      <c r="Q15" s="49">
        <v>1.8597220000000001</v>
      </c>
      <c r="R15" s="49">
        <v>1.966882</v>
      </c>
      <c r="S15" s="49">
        <v>2.1179480000000002</v>
      </c>
      <c r="T15" s="49">
        <v>2.3432360000000001</v>
      </c>
      <c r="U15" s="49">
        <v>2.5684300000000002</v>
      </c>
      <c r="V15" s="49">
        <v>2.7376019999999999</v>
      </c>
      <c r="W15" s="49">
        <v>2.8245119999999999</v>
      </c>
    </row>
    <row r="16" spans="2:24" x14ac:dyDescent="0.25">
      <c r="K16" s="120" t="s">
        <v>423</v>
      </c>
      <c r="L16" s="49">
        <v>3.4668920000000001</v>
      </c>
      <c r="M16" s="49">
        <v>3.3773610000000001</v>
      </c>
      <c r="N16" s="49">
        <v>3.4458950000000002</v>
      </c>
      <c r="O16" s="49">
        <v>2.5531470000000001</v>
      </c>
      <c r="P16" s="49">
        <v>2.1572619999999998</v>
      </c>
      <c r="Q16" s="49">
        <v>1.985833</v>
      </c>
      <c r="R16" s="49">
        <v>2.8817300000000001</v>
      </c>
      <c r="S16" s="49">
        <v>2.8433459999999999</v>
      </c>
      <c r="T16" s="49">
        <v>3.2400679999999999</v>
      </c>
      <c r="U16" s="49">
        <v>3.6491020000000001</v>
      </c>
      <c r="V16" s="49">
        <v>3.5158200000000002</v>
      </c>
      <c r="W16" s="49">
        <v>3.4720499999999999</v>
      </c>
    </row>
    <row r="17" spans="2:11" ht="27.75" thickBot="1" x14ac:dyDescent="0.3">
      <c r="B17" s="719" t="s">
        <v>1026</v>
      </c>
      <c r="C17" s="720"/>
      <c r="D17" s="897" t="s">
        <v>530</v>
      </c>
      <c r="E17" s="897"/>
      <c r="F17" s="897"/>
      <c r="G17" s="897"/>
      <c r="H17" s="897"/>
      <c r="K17" s="120"/>
    </row>
    <row r="18" spans="2:11" ht="27.75" thickBot="1" x14ac:dyDescent="0.3">
      <c r="B18" s="935"/>
      <c r="C18" s="416"/>
      <c r="D18" s="724"/>
      <c r="E18" s="721" t="s">
        <v>424</v>
      </c>
      <c r="F18" s="722" t="s">
        <v>286</v>
      </c>
      <c r="G18" s="723" t="s">
        <v>425</v>
      </c>
      <c r="H18" s="722" t="s">
        <v>426</v>
      </c>
    </row>
    <row r="19" spans="2:11" x14ac:dyDescent="0.25">
      <c r="B19" s="936"/>
      <c r="C19" s="714"/>
      <c r="D19" s="145">
        <v>2012</v>
      </c>
      <c r="E19" s="226">
        <v>2.5531470000000001</v>
      </c>
      <c r="F19" s="725">
        <v>1.871426</v>
      </c>
      <c r="G19" s="725">
        <v>0.22630600000000001</v>
      </c>
      <c r="H19" s="726">
        <v>0.44289299999999998</v>
      </c>
    </row>
    <row r="20" spans="2:11" x14ac:dyDescent="0.25">
      <c r="B20" s="936"/>
      <c r="C20" s="714"/>
      <c r="D20" s="145">
        <v>2013</v>
      </c>
      <c r="E20" s="226">
        <v>2.1572619999999998</v>
      </c>
      <c r="F20" s="725">
        <v>1.8646609999999999</v>
      </c>
      <c r="G20" s="725">
        <v>1.6768999999999999E-2</v>
      </c>
      <c r="H20" s="726">
        <v>0.27062999999999998</v>
      </c>
    </row>
    <row r="21" spans="2:11" x14ac:dyDescent="0.25">
      <c r="B21" s="936"/>
      <c r="C21" s="714"/>
      <c r="D21" s="145">
        <v>2014</v>
      </c>
      <c r="E21" s="226">
        <v>1.985833</v>
      </c>
      <c r="F21" s="725">
        <v>1.8597220000000001</v>
      </c>
      <c r="G21" s="725">
        <v>-0.11285199999999999</v>
      </c>
      <c r="H21" s="726">
        <v>0.23719899999999999</v>
      </c>
    </row>
    <row r="22" spans="2:11" x14ac:dyDescent="0.25">
      <c r="B22" s="936"/>
      <c r="C22" s="714"/>
      <c r="D22" s="145">
        <v>2015</v>
      </c>
      <c r="E22" s="226">
        <v>2.8817300000000001</v>
      </c>
      <c r="F22" s="725">
        <v>1.966882</v>
      </c>
      <c r="G22" s="725">
        <v>0.56066400000000005</v>
      </c>
      <c r="H22" s="726">
        <v>0.33785500000000002</v>
      </c>
    </row>
    <row r="23" spans="2:11" ht="14.25" thickBot="1" x14ac:dyDescent="0.3">
      <c r="B23" s="936"/>
      <c r="C23" s="714"/>
      <c r="D23" s="712">
        <v>2016</v>
      </c>
      <c r="E23" s="728">
        <v>2.8433459999999999</v>
      </c>
      <c r="F23" s="729">
        <v>2.1179480000000002</v>
      </c>
      <c r="G23" s="729">
        <v>0.12138500000000001</v>
      </c>
      <c r="H23" s="730">
        <v>0.58932300000000004</v>
      </c>
    </row>
    <row r="24" spans="2:11" x14ac:dyDescent="0.25">
      <c r="B24" s="936"/>
      <c r="C24" s="714"/>
      <c r="D24" s="145" t="s">
        <v>268</v>
      </c>
      <c r="E24" s="226">
        <v>3.2400679999999999</v>
      </c>
      <c r="F24" s="725">
        <v>2.3432360000000001</v>
      </c>
      <c r="G24" s="725">
        <v>0.24384</v>
      </c>
      <c r="H24" s="726">
        <v>0.63254500000000002</v>
      </c>
    </row>
    <row r="25" spans="2:11" x14ac:dyDescent="0.25">
      <c r="B25" s="936"/>
      <c r="C25" s="714"/>
      <c r="D25" s="145" t="s">
        <v>269</v>
      </c>
      <c r="E25" s="226">
        <v>3.6491020000000001</v>
      </c>
      <c r="F25" s="725">
        <v>2.5684300000000002</v>
      </c>
      <c r="G25" s="725">
        <v>0.30064800000000003</v>
      </c>
      <c r="H25" s="726">
        <v>0.75306399999999996</v>
      </c>
    </row>
    <row r="26" spans="2:11" x14ac:dyDescent="0.25">
      <c r="B26" s="936"/>
      <c r="C26" s="714"/>
      <c r="D26" s="145" t="s">
        <v>270</v>
      </c>
      <c r="E26" s="226">
        <v>3.5158200000000002</v>
      </c>
      <c r="F26" s="725">
        <v>2.7376019999999999</v>
      </c>
      <c r="G26" s="725">
        <v>0.35507</v>
      </c>
      <c r="H26" s="726">
        <v>0.40258699999999997</v>
      </c>
    </row>
    <row r="27" spans="2:11" ht="14.25" thickBot="1" x14ac:dyDescent="0.3">
      <c r="B27" s="937"/>
      <c r="C27" s="416"/>
      <c r="D27" s="712" t="s">
        <v>631</v>
      </c>
      <c r="E27" s="728">
        <v>3.4720499999999999</v>
      </c>
      <c r="F27" s="729">
        <v>2.8245119999999999</v>
      </c>
      <c r="G27" s="729">
        <v>0.47959400000000002</v>
      </c>
      <c r="H27" s="730">
        <v>0.151615</v>
      </c>
    </row>
    <row r="28" spans="2:11" x14ac:dyDescent="0.25">
      <c r="B28" s="458" t="s">
        <v>345</v>
      </c>
      <c r="H28" s="458" t="s">
        <v>345</v>
      </c>
    </row>
  </sheetData>
  <mergeCells count="5">
    <mergeCell ref="D4:H4"/>
    <mergeCell ref="B5:B14"/>
    <mergeCell ref="D15:H15"/>
    <mergeCell ref="D17:H17"/>
    <mergeCell ref="B18:B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B4:AA31"/>
  <sheetViews>
    <sheetView showGridLines="0" zoomScale="85" zoomScaleNormal="85" workbookViewId="0">
      <selection activeCell="P6" sqref="P6"/>
    </sheetView>
  </sheetViews>
  <sheetFormatPr defaultRowHeight="13.5" x14ac:dyDescent="0.25"/>
  <cols>
    <col min="1" max="1" width="9.140625" style="40"/>
    <col min="2" max="2" width="48.140625" style="40" customWidth="1"/>
    <col min="3" max="3" width="6.42578125" style="393" customWidth="1"/>
    <col min="4" max="6" width="9.140625" style="40"/>
    <col min="7" max="7" width="11.28515625" style="40" customWidth="1"/>
    <col min="8" max="9" width="9.140625" style="40"/>
    <col min="10" max="10" width="18.7109375" style="40" bestFit="1" customWidth="1"/>
    <col min="11" max="16384" width="9.140625" style="40"/>
  </cols>
  <sheetData>
    <row r="4" spans="2:27" ht="27.75" thickBot="1" x14ac:dyDescent="0.3">
      <c r="B4" s="710" t="s">
        <v>1027</v>
      </c>
      <c r="C4" s="413"/>
      <c r="D4" s="896" t="s">
        <v>534</v>
      </c>
      <c r="E4" s="896"/>
      <c r="F4" s="896"/>
      <c r="G4" s="896"/>
    </row>
    <row r="5" spans="2:27" ht="14.25" thickBot="1" x14ac:dyDescent="0.3">
      <c r="B5" s="935"/>
      <c r="C5" s="416"/>
      <c r="D5" s="939"/>
      <c r="E5" s="15" t="s">
        <v>108</v>
      </c>
      <c r="F5" s="941" t="s">
        <v>272</v>
      </c>
      <c r="G5" s="88" t="s">
        <v>281</v>
      </c>
      <c r="J5" s="52"/>
      <c r="K5" s="138">
        <v>2004</v>
      </c>
      <c r="L5" s="138">
        <v>2005</v>
      </c>
      <c r="M5" s="138">
        <v>2006</v>
      </c>
      <c r="N5" s="138">
        <v>2007</v>
      </c>
      <c r="O5" s="138">
        <v>2008</v>
      </c>
      <c r="P5" s="138">
        <v>2009</v>
      </c>
      <c r="Q5" s="138">
        <v>2010</v>
      </c>
      <c r="R5" s="138">
        <v>2011</v>
      </c>
      <c r="S5" s="138">
        <v>2012</v>
      </c>
      <c r="T5" s="138">
        <v>2013</v>
      </c>
      <c r="U5" s="138">
        <v>2014</v>
      </c>
      <c r="V5" s="138">
        <v>2015</v>
      </c>
      <c r="W5" s="138">
        <v>2016</v>
      </c>
      <c r="X5" s="138" t="s">
        <v>268</v>
      </c>
      <c r="Y5" s="138" t="s">
        <v>269</v>
      </c>
      <c r="Z5" s="138" t="s">
        <v>270</v>
      </c>
      <c r="AA5" s="138" t="s">
        <v>631</v>
      </c>
    </row>
    <row r="6" spans="2:27" ht="27.75" thickBot="1" x14ac:dyDescent="0.3">
      <c r="B6" s="936"/>
      <c r="C6" s="416"/>
      <c r="D6" s="940"/>
      <c r="E6" s="146" t="s">
        <v>282</v>
      </c>
      <c r="F6" s="942"/>
      <c r="G6" s="89" t="s">
        <v>283</v>
      </c>
      <c r="J6" s="120" t="s">
        <v>285</v>
      </c>
      <c r="K6" s="49">
        <v>-1.246947</v>
      </c>
      <c r="L6" s="49">
        <v>1.1279000000000001E-2</v>
      </c>
      <c r="M6" s="49">
        <v>2.4672260000000001</v>
      </c>
      <c r="N6" s="49">
        <v>7.0379259999999997</v>
      </c>
      <c r="O6" s="49">
        <v>7.201886</v>
      </c>
      <c r="P6" s="49">
        <v>-2.0084330000000001</v>
      </c>
      <c r="Q6" s="49">
        <v>-0.43078899999999998</v>
      </c>
      <c r="R6" s="49">
        <v>-1.0340959999999999</v>
      </c>
      <c r="S6" s="49">
        <v>-1.8987639999999999</v>
      </c>
      <c r="T6" s="49">
        <v>-2.5389020000000002</v>
      </c>
      <c r="U6" s="49">
        <v>-1.9798359999999999</v>
      </c>
      <c r="V6" s="49">
        <v>-1.0753410000000001</v>
      </c>
      <c r="W6" s="49">
        <v>-0.63608799999999999</v>
      </c>
      <c r="X6" s="49">
        <v>-0.57840599999999998</v>
      </c>
      <c r="Y6" s="49">
        <v>-0.24182000000000001</v>
      </c>
      <c r="Z6" s="49">
        <v>0.61026499999999995</v>
      </c>
      <c r="AA6" s="49">
        <v>0.92914399999999997</v>
      </c>
    </row>
    <row r="7" spans="2:27" x14ac:dyDescent="0.25">
      <c r="B7" s="936"/>
      <c r="C7" s="416"/>
      <c r="D7" s="145">
        <v>2012</v>
      </c>
      <c r="E7" s="148">
        <v>1.657138</v>
      </c>
      <c r="F7" s="148">
        <v>2.5531470000000001</v>
      </c>
      <c r="G7" s="711">
        <v>-1.8987639999999999</v>
      </c>
      <c r="J7" s="120" t="s">
        <v>427</v>
      </c>
      <c r="K7" s="49">
        <v>-1.246947</v>
      </c>
      <c r="L7" s="49">
        <v>1.1279000000000001E-2</v>
      </c>
      <c r="M7" s="49">
        <v>2.4672260000000001</v>
      </c>
      <c r="N7" s="49">
        <v>7.0379259999999997</v>
      </c>
      <c r="O7" s="49">
        <v>7.201886</v>
      </c>
      <c r="P7" s="49">
        <v>-2.0084330000000001</v>
      </c>
      <c r="Q7" s="49">
        <v>-0.43078899999999998</v>
      </c>
      <c r="R7" s="49">
        <v>-1.0340959999999999</v>
      </c>
      <c r="S7" s="49">
        <v>-1.8987639999999999</v>
      </c>
      <c r="T7" s="49">
        <v>-2.5389020000000002</v>
      </c>
      <c r="U7" s="49">
        <v>-1.9798359999999999</v>
      </c>
      <c r="V7" s="49">
        <v>-1.0753410000000001</v>
      </c>
      <c r="W7" s="49">
        <v>-0.63608799999999999</v>
      </c>
      <c r="X7" s="49">
        <v>-0.57840599999999998</v>
      </c>
      <c r="Y7" s="49">
        <v>-0.24182000000000001</v>
      </c>
      <c r="Z7" s="49">
        <v>0.61026499999999995</v>
      </c>
      <c r="AA7" s="49">
        <v>0.92914399999999997</v>
      </c>
    </row>
    <row r="8" spans="2:27" x14ac:dyDescent="0.25">
      <c r="B8" s="936"/>
      <c r="C8" s="416"/>
      <c r="D8" s="145">
        <v>2013</v>
      </c>
      <c r="E8" s="148">
        <v>1.4906569999999999</v>
      </c>
      <c r="F8" s="148">
        <v>2.1572619999999998</v>
      </c>
      <c r="G8" s="711">
        <v>-2.5389020000000002</v>
      </c>
    </row>
    <row r="9" spans="2:27" x14ac:dyDescent="0.25">
      <c r="B9" s="936"/>
      <c r="C9" s="416"/>
      <c r="D9" s="145">
        <v>2014</v>
      </c>
      <c r="E9" s="148">
        <v>2.5708549999999999</v>
      </c>
      <c r="F9" s="148">
        <v>1.985833</v>
      </c>
      <c r="G9" s="711">
        <v>-1.9798359999999999</v>
      </c>
    </row>
    <row r="10" spans="2:27" x14ac:dyDescent="0.25">
      <c r="B10" s="936"/>
      <c r="C10" s="416"/>
      <c r="D10" s="145">
        <v>2015</v>
      </c>
      <c r="E10" s="148">
        <v>3.831086</v>
      </c>
      <c r="F10" s="148">
        <v>2.8817300000000001</v>
      </c>
      <c r="G10" s="711">
        <v>-1.0753410000000001</v>
      </c>
    </row>
    <row r="11" spans="2:27" ht="14.25" thickBot="1" x14ac:dyDescent="0.3">
      <c r="B11" s="936"/>
      <c r="C11" s="416"/>
      <c r="D11" s="712">
        <v>2016</v>
      </c>
      <c r="E11" s="269">
        <v>3.3</v>
      </c>
      <c r="F11" s="269">
        <v>2.8433459999999999</v>
      </c>
      <c r="G11" s="713">
        <v>-0.63608799999999999</v>
      </c>
    </row>
    <row r="12" spans="2:27" x14ac:dyDescent="0.25">
      <c r="B12" s="936"/>
      <c r="C12" s="416"/>
      <c r="D12" s="145" t="s">
        <v>268</v>
      </c>
      <c r="E12" s="148">
        <v>3.3</v>
      </c>
      <c r="F12" s="148">
        <v>3.2400679999999999</v>
      </c>
      <c r="G12" s="711">
        <v>-0.57840599999999998</v>
      </c>
    </row>
    <row r="13" spans="2:27" x14ac:dyDescent="0.25">
      <c r="B13" s="936"/>
      <c r="C13" s="416"/>
      <c r="D13" s="145" t="s">
        <v>269</v>
      </c>
      <c r="E13" s="148">
        <v>4</v>
      </c>
      <c r="F13" s="148">
        <v>3.6491020000000001</v>
      </c>
      <c r="G13" s="711">
        <v>-0.24182000000000001</v>
      </c>
    </row>
    <row r="14" spans="2:27" x14ac:dyDescent="0.25">
      <c r="B14" s="936"/>
      <c r="C14" s="416"/>
      <c r="D14" s="145" t="s">
        <v>270</v>
      </c>
      <c r="E14" s="148">
        <v>4.4000000000000004</v>
      </c>
      <c r="F14" s="148">
        <v>3.5158200000000002</v>
      </c>
      <c r="G14" s="711">
        <v>0.61026499999999995</v>
      </c>
    </row>
    <row r="15" spans="2:27" ht="14.25" thickBot="1" x14ac:dyDescent="0.3">
      <c r="B15" s="937"/>
      <c r="C15" s="416"/>
      <c r="D15" s="712" t="s">
        <v>631</v>
      </c>
      <c r="E15" s="269">
        <v>3.8</v>
      </c>
      <c r="F15" s="269">
        <v>3.4720499999999999</v>
      </c>
      <c r="G15" s="713">
        <v>0.92914399999999997</v>
      </c>
    </row>
    <row r="16" spans="2:27" x14ac:dyDescent="0.25">
      <c r="B16" s="84" t="s">
        <v>531</v>
      </c>
      <c r="C16" s="435"/>
      <c r="D16" s="938" t="s">
        <v>284</v>
      </c>
      <c r="E16" s="938"/>
      <c r="F16" s="938"/>
      <c r="G16" s="938"/>
    </row>
    <row r="19" spans="2:7" ht="14.25" thickBot="1" x14ac:dyDescent="0.3">
      <c r="B19" s="710" t="s">
        <v>1028</v>
      </c>
      <c r="C19" s="413"/>
      <c r="D19" s="896" t="s">
        <v>533</v>
      </c>
      <c r="E19" s="896"/>
      <c r="F19" s="896"/>
      <c r="G19" s="896"/>
    </row>
    <row r="20" spans="2:7" x14ac:dyDescent="0.25">
      <c r="B20" s="935"/>
      <c r="C20" s="416"/>
      <c r="D20" s="939"/>
      <c r="E20" s="15" t="s">
        <v>340</v>
      </c>
      <c r="F20" s="941" t="s">
        <v>424</v>
      </c>
      <c r="G20" s="88" t="s">
        <v>429</v>
      </c>
    </row>
    <row r="21" spans="2:7" ht="27.75" thickBot="1" x14ac:dyDescent="0.3">
      <c r="B21" s="936"/>
      <c r="C21" s="416"/>
      <c r="D21" s="940"/>
      <c r="E21" s="146" t="s">
        <v>428</v>
      </c>
      <c r="F21" s="942"/>
      <c r="G21" s="89" t="s">
        <v>430</v>
      </c>
    </row>
    <row r="22" spans="2:7" x14ac:dyDescent="0.25">
      <c r="B22" s="936"/>
      <c r="C22" s="416"/>
      <c r="D22" s="145">
        <v>2012</v>
      </c>
      <c r="E22" s="148">
        <v>1.657138</v>
      </c>
      <c r="F22" s="148">
        <v>2.5531470000000001</v>
      </c>
      <c r="G22" s="711">
        <v>-1.8987639999999999</v>
      </c>
    </row>
    <row r="23" spans="2:7" x14ac:dyDescent="0.25">
      <c r="B23" s="936"/>
      <c r="C23" s="416"/>
      <c r="D23" s="145">
        <v>2013</v>
      </c>
      <c r="E23" s="148">
        <v>1.4906569999999999</v>
      </c>
      <c r="F23" s="148">
        <v>2.1572619999999998</v>
      </c>
      <c r="G23" s="711">
        <v>-2.5389020000000002</v>
      </c>
    </row>
    <row r="24" spans="2:7" x14ac:dyDescent="0.25">
      <c r="B24" s="936"/>
      <c r="C24" s="416"/>
      <c r="D24" s="145">
        <v>2014</v>
      </c>
      <c r="E24" s="148">
        <v>2.5708549999999999</v>
      </c>
      <c r="F24" s="148">
        <v>1.985833</v>
      </c>
      <c r="G24" s="711">
        <v>-1.9798359999999999</v>
      </c>
    </row>
    <row r="25" spans="2:7" x14ac:dyDescent="0.25">
      <c r="B25" s="936"/>
      <c r="C25" s="416"/>
      <c r="D25" s="145">
        <v>2015</v>
      </c>
      <c r="E25" s="148">
        <v>3.831086</v>
      </c>
      <c r="F25" s="148">
        <v>2.8817300000000001</v>
      </c>
      <c r="G25" s="711">
        <v>-1.0753410000000001</v>
      </c>
    </row>
    <row r="26" spans="2:7" ht="14.25" thickBot="1" x14ac:dyDescent="0.3">
      <c r="B26" s="936"/>
      <c r="C26" s="416"/>
      <c r="D26" s="712">
        <v>2016</v>
      </c>
      <c r="E26" s="269">
        <v>3.3</v>
      </c>
      <c r="F26" s="269">
        <v>2.8433459999999999</v>
      </c>
      <c r="G26" s="713">
        <v>-0.63608799999999999</v>
      </c>
    </row>
    <row r="27" spans="2:7" x14ac:dyDescent="0.25">
      <c r="B27" s="936"/>
      <c r="C27" s="416"/>
      <c r="D27" s="145" t="s">
        <v>268</v>
      </c>
      <c r="E27" s="148">
        <v>3.3</v>
      </c>
      <c r="F27" s="148">
        <v>3.2400679999999999</v>
      </c>
      <c r="G27" s="711">
        <v>-0.57840599999999998</v>
      </c>
    </row>
    <row r="28" spans="2:7" x14ac:dyDescent="0.25">
      <c r="B28" s="936"/>
      <c r="C28" s="416"/>
      <c r="D28" s="145" t="s">
        <v>269</v>
      </c>
      <c r="E28" s="148">
        <v>4</v>
      </c>
      <c r="F28" s="148">
        <v>3.6491020000000001</v>
      </c>
      <c r="G28" s="711">
        <v>-0.24182000000000001</v>
      </c>
    </row>
    <row r="29" spans="2:7" x14ac:dyDescent="0.25">
      <c r="B29" s="936"/>
      <c r="C29" s="416"/>
      <c r="D29" s="145" t="s">
        <v>270</v>
      </c>
      <c r="E29" s="148">
        <v>4.4000000000000004</v>
      </c>
      <c r="F29" s="148">
        <v>3.5158200000000002</v>
      </c>
      <c r="G29" s="711">
        <v>0.61026499999999995</v>
      </c>
    </row>
    <row r="30" spans="2:7" ht="14.25" thickBot="1" x14ac:dyDescent="0.3">
      <c r="B30" s="937"/>
      <c r="C30" s="416"/>
      <c r="D30" s="712" t="s">
        <v>631</v>
      </c>
      <c r="E30" s="269">
        <v>3.8</v>
      </c>
      <c r="F30" s="269">
        <v>3.4720499999999999</v>
      </c>
      <c r="G30" s="713">
        <v>0.92914399999999997</v>
      </c>
    </row>
    <row r="31" spans="2:7" x14ac:dyDescent="0.25">
      <c r="B31" s="84" t="s">
        <v>532</v>
      </c>
      <c r="C31" s="435"/>
      <c r="D31" s="938" t="s">
        <v>522</v>
      </c>
      <c r="E31" s="938"/>
      <c r="F31" s="938"/>
      <c r="G31" s="938"/>
    </row>
  </sheetData>
  <mergeCells count="10">
    <mergeCell ref="B20:B30"/>
    <mergeCell ref="D20:D21"/>
    <mergeCell ref="F20:F21"/>
    <mergeCell ref="D31:G31"/>
    <mergeCell ref="D4:G4"/>
    <mergeCell ref="B5:B15"/>
    <mergeCell ref="D5:D6"/>
    <mergeCell ref="F5:F6"/>
    <mergeCell ref="D16:G16"/>
    <mergeCell ref="D19:G1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B3:W28"/>
  <sheetViews>
    <sheetView showGridLines="0" zoomScale="85" zoomScaleNormal="85" workbookViewId="0">
      <selection activeCell="N14" sqref="N14"/>
    </sheetView>
  </sheetViews>
  <sheetFormatPr defaultRowHeight="13.5" x14ac:dyDescent="0.25"/>
  <cols>
    <col min="1" max="1" width="9.140625" style="40"/>
    <col min="2" max="2" width="47" style="40" customWidth="1"/>
    <col min="3" max="3" width="9.7109375" style="40" customWidth="1"/>
    <col min="4" max="10" width="9.140625" style="40"/>
    <col min="11" max="11" width="11.140625" style="115" bestFit="1" customWidth="1"/>
    <col min="12" max="23" width="9.140625" style="115"/>
    <col min="24" max="16384" width="9.140625" style="40"/>
  </cols>
  <sheetData>
    <row r="3" spans="2:23" ht="27.75" thickBot="1" x14ac:dyDescent="0.3">
      <c r="B3" s="710" t="s">
        <v>1029</v>
      </c>
      <c r="C3" s="413"/>
      <c r="D3" s="896" t="s">
        <v>535</v>
      </c>
      <c r="E3" s="896"/>
      <c r="F3" s="896"/>
      <c r="G3" s="896"/>
      <c r="H3" s="896"/>
    </row>
    <row r="4" spans="2:23" ht="27.75" thickBot="1" x14ac:dyDescent="0.3">
      <c r="B4" s="935"/>
      <c r="C4" s="416"/>
      <c r="D4" s="20"/>
      <c r="E4" s="146" t="s">
        <v>272</v>
      </c>
      <c r="F4" s="90" t="s">
        <v>286</v>
      </c>
      <c r="G4" s="90" t="s">
        <v>273</v>
      </c>
      <c r="H4" s="90" t="s">
        <v>274</v>
      </c>
    </row>
    <row r="5" spans="2:23" ht="14.25" thickBot="1" x14ac:dyDescent="0.3">
      <c r="B5" s="936"/>
      <c r="C5" s="714"/>
      <c r="D5" s="145">
        <v>2012</v>
      </c>
      <c r="E5" s="148">
        <v>2.365438008784948</v>
      </c>
      <c r="F5" s="715">
        <v>1.3963555157278504</v>
      </c>
      <c r="G5" s="715">
        <v>0.80803455549810599</v>
      </c>
      <c r="H5" s="716">
        <v>0.16104793755899161</v>
      </c>
      <c r="K5" s="133"/>
      <c r="L5" s="134">
        <v>2009</v>
      </c>
      <c r="M5" s="134">
        <v>2010</v>
      </c>
      <c r="N5" s="134">
        <v>2011</v>
      </c>
      <c r="O5" s="134">
        <v>2012</v>
      </c>
      <c r="P5" s="134">
        <v>2013</v>
      </c>
      <c r="Q5" s="134">
        <v>2014</v>
      </c>
      <c r="R5" s="134">
        <v>2015</v>
      </c>
      <c r="S5" s="134">
        <v>2016</v>
      </c>
      <c r="T5" s="134" t="s">
        <v>268</v>
      </c>
      <c r="U5" s="134" t="s">
        <v>269</v>
      </c>
      <c r="V5" s="134" t="s">
        <v>270</v>
      </c>
      <c r="W5" s="134" t="s">
        <v>631</v>
      </c>
    </row>
    <row r="6" spans="2:23" x14ac:dyDescent="0.25">
      <c r="B6" s="936"/>
      <c r="C6" s="714"/>
      <c r="D6" s="145">
        <v>2013</v>
      </c>
      <c r="E6" s="148">
        <v>2.0803813908922164</v>
      </c>
      <c r="F6" s="715">
        <v>1.42931265005079</v>
      </c>
      <c r="G6" s="715">
        <v>0.55434660809680647</v>
      </c>
      <c r="H6" s="716">
        <v>9.672213274461991E-2</v>
      </c>
      <c r="K6" s="116" t="s">
        <v>277</v>
      </c>
      <c r="L6" s="121">
        <v>-7.1389245138788636E-3</v>
      </c>
      <c r="M6" s="121">
        <v>1.70947778346596E-2</v>
      </c>
      <c r="N6" s="121">
        <v>0.35886003564572633</v>
      </c>
      <c r="O6" s="121">
        <v>0.16104793755899161</v>
      </c>
      <c r="P6" s="121">
        <v>9.672213274461991E-2</v>
      </c>
      <c r="Q6" s="121">
        <v>0.19245291118208233</v>
      </c>
      <c r="R6" s="121">
        <v>0.26510352586309632</v>
      </c>
      <c r="S6" s="121">
        <v>0.28527988611121602</v>
      </c>
      <c r="T6" s="121">
        <v>0.23268673313581101</v>
      </c>
      <c r="U6" s="121">
        <v>0.16538790378794163</v>
      </c>
      <c r="V6" s="121">
        <v>0.14849446225642338</v>
      </c>
      <c r="W6" s="121">
        <v>0.14305337520904898</v>
      </c>
    </row>
    <row r="7" spans="2:23" x14ac:dyDescent="0.25">
      <c r="B7" s="936"/>
      <c r="C7" s="714"/>
      <c r="D7" s="145">
        <v>2014</v>
      </c>
      <c r="E7" s="148">
        <v>2.3498255635582277</v>
      </c>
      <c r="F7" s="715">
        <v>1.6891374981364837</v>
      </c>
      <c r="G7" s="715">
        <v>0.46823515423966167</v>
      </c>
      <c r="H7" s="716">
        <v>0.19245291118208233</v>
      </c>
      <c r="K7" s="116" t="s">
        <v>278</v>
      </c>
      <c r="L7" s="121">
        <v>1.0268783398316244</v>
      </c>
      <c r="M7" s="121">
        <v>0.75795459792931397</v>
      </c>
      <c r="N7" s="121">
        <v>0.9415823509716682</v>
      </c>
      <c r="O7" s="121">
        <v>0.80803455549810599</v>
      </c>
      <c r="P7" s="121">
        <v>0.55434660809680647</v>
      </c>
      <c r="Q7" s="121">
        <v>0.46823515423966167</v>
      </c>
      <c r="R7" s="121">
        <v>0.65145430231646162</v>
      </c>
      <c r="S7" s="121">
        <v>0.73999940320823077</v>
      </c>
      <c r="T7" s="121">
        <v>0.5975475760979817</v>
      </c>
      <c r="U7" s="121">
        <v>0.70823839145495815</v>
      </c>
      <c r="V7" s="121">
        <v>0.7580965514711242</v>
      </c>
      <c r="W7" s="121">
        <v>0.83463511236198762</v>
      </c>
    </row>
    <row r="8" spans="2:23" x14ac:dyDescent="0.25">
      <c r="B8" s="936"/>
      <c r="C8" s="714"/>
      <c r="D8" s="145">
        <v>2015</v>
      </c>
      <c r="E8" s="148">
        <v>2.9439274800685089</v>
      </c>
      <c r="F8" s="715">
        <v>2.0273696518889506</v>
      </c>
      <c r="G8" s="715">
        <v>0.65145430231646162</v>
      </c>
      <c r="H8" s="716">
        <v>0.26510352586309632</v>
      </c>
      <c r="K8" s="116" t="s">
        <v>279</v>
      </c>
      <c r="L8" s="121">
        <v>0.50587356045126297</v>
      </c>
      <c r="M8" s="121">
        <v>0.53578792325651059</v>
      </c>
      <c r="N8" s="121">
        <v>1.0092298880525661</v>
      </c>
      <c r="O8" s="121">
        <v>1.3963555157278504</v>
      </c>
      <c r="P8" s="121">
        <v>1.42931265005079</v>
      </c>
      <c r="Q8" s="121">
        <v>1.6891374981364837</v>
      </c>
      <c r="R8" s="121">
        <v>2.0273696518889506</v>
      </c>
      <c r="S8" s="121">
        <v>1.801583591743972</v>
      </c>
      <c r="T8" s="121">
        <v>2.0276401761380547</v>
      </c>
      <c r="U8" s="121">
        <v>2.6406302953851291</v>
      </c>
      <c r="V8" s="121">
        <v>2.79158006031563</v>
      </c>
      <c r="W8" s="121">
        <v>2.8589565064277247</v>
      </c>
    </row>
    <row r="9" spans="2:23" ht="14.25" thickBot="1" x14ac:dyDescent="0.3">
      <c r="B9" s="936"/>
      <c r="C9" s="714"/>
      <c r="D9" s="712">
        <v>2016</v>
      </c>
      <c r="E9" s="269">
        <v>2.8268628810634189</v>
      </c>
      <c r="F9" s="717">
        <v>1.801583591743972</v>
      </c>
      <c r="G9" s="717">
        <v>0.73999940320823077</v>
      </c>
      <c r="H9" s="718">
        <v>0.28527988611121602</v>
      </c>
      <c r="K9" s="116" t="s">
        <v>280</v>
      </c>
      <c r="L9" s="121">
        <v>1.5256129757690085</v>
      </c>
      <c r="M9" s="121">
        <v>1.3108372990204842</v>
      </c>
      <c r="N9" s="121">
        <v>2.3096722746699605</v>
      </c>
      <c r="O9" s="121">
        <v>2.365438008784948</v>
      </c>
      <c r="P9" s="121">
        <v>2.0803813908922164</v>
      </c>
      <c r="Q9" s="121">
        <v>2.3498255635582277</v>
      </c>
      <c r="R9" s="121">
        <v>2.9439274800685089</v>
      </c>
      <c r="S9" s="121">
        <v>2.8268628810634189</v>
      </c>
      <c r="T9" s="121">
        <v>2.8578744853718474</v>
      </c>
      <c r="U9" s="121">
        <v>3.5142565906280288</v>
      </c>
      <c r="V9" s="121">
        <v>3.6981710740431772</v>
      </c>
      <c r="W9" s="121">
        <v>3.8366449939987612</v>
      </c>
    </row>
    <row r="10" spans="2:23" x14ac:dyDescent="0.25">
      <c r="B10" s="936"/>
      <c r="C10" s="714"/>
      <c r="D10" s="145" t="s">
        <v>268</v>
      </c>
      <c r="E10" s="148">
        <v>2.8578744853718474</v>
      </c>
      <c r="F10" s="715">
        <v>2.0276401761380547</v>
      </c>
      <c r="G10" s="715">
        <v>0.5975475760979817</v>
      </c>
      <c r="H10" s="716">
        <v>0.23268673313581101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spans="2:23" x14ac:dyDescent="0.25">
      <c r="B11" s="936"/>
      <c r="C11" s="714"/>
      <c r="D11" s="145" t="s">
        <v>269</v>
      </c>
      <c r="E11" s="148">
        <v>3.5142565906280288</v>
      </c>
      <c r="F11" s="715">
        <v>2.6406302953851291</v>
      </c>
      <c r="G11" s="715">
        <v>0.70823839145495815</v>
      </c>
      <c r="H11" s="716">
        <v>0.16538790378794163</v>
      </c>
    </row>
    <row r="12" spans="2:23" ht="14.25" thickBot="1" x14ac:dyDescent="0.3">
      <c r="B12" s="936"/>
      <c r="C12" s="714"/>
      <c r="D12" s="145" t="s">
        <v>270</v>
      </c>
      <c r="E12" s="148">
        <v>3.6981710740431772</v>
      </c>
      <c r="F12" s="715">
        <v>2.79158006031563</v>
      </c>
      <c r="G12" s="715">
        <v>0.7580965514711242</v>
      </c>
      <c r="H12" s="716">
        <v>0.14849446225642338</v>
      </c>
      <c r="K12" s="133"/>
      <c r="L12" s="134">
        <v>2009</v>
      </c>
      <c r="M12" s="134">
        <v>2010</v>
      </c>
      <c r="N12" s="134">
        <v>2011</v>
      </c>
      <c r="O12" s="134">
        <v>2012</v>
      </c>
      <c r="P12" s="134">
        <v>2013</v>
      </c>
      <c r="Q12" s="134">
        <v>2014</v>
      </c>
      <c r="R12" s="134">
        <v>2015</v>
      </c>
      <c r="S12" s="134">
        <v>2016</v>
      </c>
      <c r="T12" s="134" t="s">
        <v>268</v>
      </c>
      <c r="U12" s="134" t="s">
        <v>269</v>
      </c>
      <c r="V12" s="134" t="s">
        <v>270</v>
      </c>
      <c r="W12" s="134" t="s">
        <v>631</v>
      </c>
    </row>
    <row r="13" spans="2:23" ht="14.25" thickBot="1" x14ac:dyDescent="0.3">
      <c r="B13" s="937"/>
      <c r="C13" s="416"/>
      <c r="D13" s="712" t="s">
        <v>631</v>
      </c>
      <c r="E13" s="269">
        <v>3.8366449939987612</v>
      </c>
      <c r="F13" s="717">
        <v>2.8589565064277247</v>
      </c>
      <c r="G13" s="717">
        <v>0.83463511236198762</v>
      </c>
      <c r="H13" s="718">
        <v>0.14305337520904898</v>
      </c>
      <c r="K13" s="116" t="s">
        <v>421</v>
      </c>
      <c r="L13" s="121">
        <v>-7.1389245138788636E-3</v>
      </c>
      <c r="M13" s="121">
        <v>1.70947778346596E-2</v>
      </c>
      <c r="N13" s="121">
        <v>0.35886003564572633</v>
      </c>
      <c r="O13" s="121">
        <v>0.16104793755899161</v>
      </c>
      <c r="P13" s="121">
        <v>9.672213274461991E-2</v>
      </c>
      <c r="Q13" s="121">
        <v>0.19245291118208233</v>
      </c>
      <c r="R13" s="121">
        <v>0.26510352586309632</v>
      </c>
      <c r="S13" s="121">
        <v>0.28527988611121602</v>
      </c>
      <c r="T13" s="121">
        <v>0.23268673313581101</v>
      </c>
      <c r="U13" s="121">
        <v>0.16538790378794163</v>
      </c>
      <c r="V13" s="121">
        <v>0.14849446225642338</v>
      </c>
      <c r="W13" s="121">
        <v>0.14305337520904898</v>
      </c>
    </row>
    <row r="14" spans="2:23" x14ac:dyDescent="0.25">
      <c r="B14" s="87" t="s">
        <v>275</v>
      </c>
      <c r="C14" s="87"/>
      <c r="D14" s="938" t="s">
        <v>276</v>
      </c>
      <c r="E14" s="938"/>
      <c r="F14" s="938"/>
      <c r="G14" s="938"/>
      <c r="H14" s="938"/>
      <c r="K14" s="116" t="s">
        <v>422</v>
      </c>
      <c r="L14" s="121">
        <v>1.0268783398316244</v>
      </c>
      <c r="M14" s="121">
        <v>0.75795459792931397</v>
      </c>
      <c r="N14" s="121">
        <v>0.9415823509716682</v>
      </c>
      <c r="O14" s="121">
        <v>0.80803455549810599</v>
      </c>
      <c r="P14" s="121">
        <v>0.55434660809680647</v>
      </c>
      <c r="Q14" s="121">
        <v>0.46823515423966167</v>
      </c>
      <c r="R14" s="121">
        <v>0.65145430231646162</v>
      </c>
      <c r="S14" s="121">
        <v>0.73999940320823077</v>
      </c>
      <c r="T14" s="121">
        <v>0.5975475760979817</v>
      </c>
      <c r="U14" s="121">
        <v>0.70823839145495815</v>
      </c>
      <c r="V14" s="121">
        <v>0.7580965514711242</v>
      </c>
      <c r="W14" s="121">
        <v>0.83463511236198762</v>
      </c>
    </row>
    <row r="15" spans="2:23" x14ac:dyDescent="0.25">
      <c r="K15" s="116" t="s">
        <v>279</v>
      </c>
      <c r="L15" s="121">
        <v>0.50587356045126297</v>
      </c>
      <c r="M15" s="121">
        <v>0.53578792325651059</v>
      </c>
      <c r="N15" s="121">
        <v>1.0092298880525661</v>
      </c>
      <c r="O15" s="121">
        <v>1.3963555157278504</v>
      </c>
      <c r="P15" s="121">
        <v>1.42931265005079</v>
      </c>
      <c r="Q15" s="121">
        <v>1.6891374981364837</v>
      </c>
      <c r="R15" s="121">
        <v>2.0273696518889506</v>
      </c>
      <c r="S15" s="121">
        <v>1.801583591743972</v>
      </c>
      <c r="T15" s="121">
        <v>2.0276401761380547</v>
      </c>
      <c r="U15" s="121">
        <v>2.6406302953851291</v>
      </c>
      <c r="V15" s="121">
        <v>2.79158006031563</v>
      </c>
      <c r="W15" s="121">
        <v>2.8589565064277247</v>
      </c>
    </row>
    <row r="16" spans="2:23" x14ac:dyDescent="0.25">
      <c r="K16" s="116" t="s">
        <v>423</v>
      </c>
      <c r="L16" s="121">
        <v>1.5256129757690085</v>
      </c>
      <c r="M16" s="121">
        <v>1.3108372990204842</v>
      </c>
      <c r="N16" s="121">
        <v>2.3096722746699605</v>
      </c>
      <c r="O16" s="121">
        <v>2.365438008784948</v>
      </c>
      <c r="P16" s="121">
        <v>2.0803813908922164</v>
      </c>
      <c r="Q16" s="121">
        <v>2.3498255635582277</v>
      </c>
      <c r="R16" s="121">
        <v>2.9439274800685089</v>
      </c>
      <c r="S16" s="121">
        <v>2.8268628810634189</v>
      </c>
      <c r="T16" s="121">
        <v>2.8578744853718474</v>
      </c>
      <c r="U16" s="121">
        <v>3.5142565906280288</v>
      </c>
      <c r="V16" s="121">
        <v>3.6981710740431772</v>
      </c>
      <c r="W16" s="121">
        <v>3.8366449939987612</v>
      </c>
    </row>
    <row r="17" spans="2:8" ht="27.75" thickBot="1" x14ac:dyDescent="0.3">
      <c r="B17" s="719" t="s">
        <v>1030</v>
      </c>
      <c r="C17" s="720"/>
      <c r="D17" s="897" t="s">
        <v>537</v>
      </c>
      <c r="E17" s="897"/>
      <c r="F17" s="897"/>
      <c r="G17" s="897"/>
      <c r="H17" s="897"/>
    </row>
    <row r="18" spans="2:8" ht="27.75" thickBot="1" x14ac:dyDescent="0.3">
      <c r="B18" s="935"/>
      <c r="C18" s="416"/>
      <c r="D18" s="20"/>
      <c r="E18" s="721" t="s">
        <v>424</v>
      </c>
      <c r="F18" s="722" t="s">
        <v>286</v>
      </c>
      <c r="G18" s="723" t="s">
        <v>425</v>
      </c>
      <c r="H18" s="722" t="s">
        <v>426</v>
      </c>
    </row>
    <row r="19" spans="2:8" x14ac:dyDescent="0.25">
      <c r="B19" s="936"/>
      <c r="C19" s="714"/>
      <c r="D19" s="145">
        <v>2012</v>
      </c>
      <c r="E19" s="148">
        <v>2.365438008784948</v>
      </c>
      <c r="F19" s="715">
        <v>1.3963555157278504</v>
      </c>
      <c r="G19" s="715">
        <v>0.80803455549810599</v>
      </c>
      <c r="H19" s="716">
        <v>0.16104793755899161</v>
      </c>
    </row>
    <row r="20" spans="2:8" x14ac:dyDescent="0.25">
      <c r="B20" s="936"/>
      <c r="C20" s="714"/>
      <c r="D20" s="145">
        <v>2013</v>
      </c>
      <c r="E20" s="148">
        <v>2.0803813908922164</v>
      </c>
      <c r="F20" s="715">
        <v>1.42931265005079</v>
      </c>
      <c r="G20" s="715">
        <v>0.55434660809680647</v>
      </c>
      <c r="H20" s="716">
        <v>9.672213274461991E-2</v>
      </c>
    </row>
    <row r="21" spans="2:8" x14ac:dyDescent="0.25">
      <c r="B21" s="936"/>
      <c r="C21" s="714"/>
      <c r="D21" s="145">
        <v>2014</v>
      </c>
      <c r="E21" s="148">
        <v>2.3498255635582277</v>
      </c>
      <c r="F21" s="715">
        <v>1.6891374981364837</v>
      </c>
      <c r="G21" s="715">
        <v>0.46823515423966167</v>
      </c>
      <c r="H21" s="716">
        <v>0.19245291118208233</v>
      </c>
    </row>
    <row r="22" spans="2:8" x14ac:dyDescent="0.25">
      <c r="B22" s="936"/>
      <c r="C22" s="714"/>
      <c r="D22" s="145">
        <v>2015</v>
      </c>
      <c r="E22" s="148">
        <v>2.9439274800685089</v>
      </c>
      <c r="F22" s="715">
        <v>2.0273696518889506</v>
      </c>
      <c r="G22" s="715">
        <v>0.65145430231646162</v>
      </c>
      <c r="H22" s="716">
        <v>0.26510352586309632</v>
      </c>
    </row>
    <row r="23" spans="2:8" ht="14.25" thickBot="1" x14ac:dyDescent="0.3">
      <c r="B23" s="936"/>
      <c r="C23" s="714"/>
      <c r="D23" s="712">
        <v>2016</v>
      </c>
      <c r="E23" s="269">
        <v>2.8268628810634189</v>
      </c>
      <c r="F23" s="717">
        <v>1.801583591743972</v>
      </c>
      <c r="G23" s="717">
        <v>0.73999940320823077</v>
      </c>
      <c r="H23" s="718">
        <v>0.28527988611121602</v>
      </c>
    </row>
    <row r="24" spans="2:8" x14ac:dyDescent="0.25">
      <c r="B24" s="936"/>
      <c r="C24" s="714"/>
      <c r="D24" s="145" t="s">
        <v>268</v>
      </c>
      <c r="E24" s="148">
        <v>2.8578744853718474</v>
      </c>
      <c r="F24" s="715">
        <v>2.0276401761380547</v>
      </c>
      <c r="G24" s="715">
        <v>0.5975475760979817</v>
      </c>
      <c r="H24" s="716">
        <v>0.23268673313581101</v>
      </c>
    </row>
    <row r="25" spans="2:8" x14ac:dyDescent="0.25">
      <c r="B25" s="936"/>
      <c r="C25" s="714"/>
      <c r="D25" s="145" t="s">
        <v>269</v>
      </c>
      <c r="E25" s="148">
        <v>3.5142565906280288</v>
      </c>
      <c r="F25" s="715">
        <v>2.6406302953851291</v>
      </c>
      <c r="G25" s="715">
        <v>0.70823839145495815</v>
      </c>
      <c r="H25" s="716">
        <v>0.16538790378794163</v>
      </c>
    </row>
    <row r="26" spans="2:8" x14ac:dyDescent="0.25">
      <c r="B26" s="936"/>
      <c r="C26" s="714"/>
      <c r="D26" s="145" t="s">
        <v>270</v>
      </c>
      <c r="E26" s="148">
        <v>3.6981710740431772</v>
      </c>
      <c r="F26" s="715">
        <v>2.79158006031563</v>
      </c>
      <c r="G26" s="715">
        <v>0.7580965514711242</v>
      </c>
      <c r="H26" s="716">
        <v>0.14849446225642338</v>
      </c>
    </row>
    <row r="27" spans="2:8" ht="14.25" thickBot="1" x14ac:dyDescent="0.3">
      <c r="B27" s="937"/>
      <c r="C27" s="416"/>
      <c r="D27" s="712" t="s">
        <v>631</v>
      </c>
      <c r="E27" s="269">
        <v>3.8366449939987612</v>
      </c>
      <c r="F27" s="717">
        <v>2.8589565064277247</v>
      </c>
      <c r="G27" s="717">
        <v>0.83463511236198762</v>
      </c>
      <c r="H27" s="718">
        <v>0.14305337520904898</v>
      </c>
    </row>
    <row r="28" spans="2:8" x14ac:dyDescent="0.25">
      <c r="B28" s="87" t="s">
        <v>275</v>
      </c>
      <c r="C28" s="87"/>
      <c r="D28" s="938" t="s">
        <v>536</v>
      </c>
      <c r="E28" s="938"/>
      <c r="F28" s="938"/>
      <c r="G28" s="938"/>
      <c r="H28" s="938"/>
    </row>
  </sheetData>
  <mergeCells count="6">
    <mergeCell ref="D28:H28"/>
    <mergeCell ref="D3:H3"/>
    <mergeCell ref="B4:B13"/>
    <mergeCell ref="D14:H14"/>
    <mergeCell ref="D17:H17"/>
    <mergeCell ref="B18:B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B4:AA31"/>
  <sheetViews>
    <sheetView showGridLines="0" zoomScale="85" zoomScaleNormal="85" workbookViewId="0">
      <selection activeCell="P6" sqref="P6"/>
    </sheetView>
  </sheetViews>
  <sheetFormatPr defaultRowHeight="13.5" x14ac:dyDescent="0.25"/>
  <cols>
    <col min="1" max="1" width="9.140625" style="40"/>
    <col min="2" max="2" width="50.85546875" style="40" customWidth="1"/>
    <col min="3" max="3" width="9.7109375" style="393" customWidth="1"/>
    <col min="4" max="6" width="9.140625" style="40"/>
    <col min="7" max="7" width="11.28515625" style="40" customWidth="1"/>
    <col min="8" max="9" width="9.140625" style="40"/>
    <col min="10" max="10" width="14.140625" style="40" bestFit="1" customWidth="1"/>
    <col min="11" max="16384" width="9.140625" style="40"/>
  </cols>
  <sheetData>
    <row r="4" spans="2:27" ht="27.75" thickBot="1" x14ac:dyDescent="0.3">
      <c r="B4" s="710" t="s">
        <v>1031</v>
      </c>
      <c r="C4" s="413"/>
      <c r="D4" s="897" t="s">
        <v>538</v>
      </c>
      <c r="E4" s="897"/>
      <c r="F4" s="897"/>
      <c r="G4" s="897"/>
    </row>
    <row r="5" spans="2:27" ht="14.25" thickBot="1" x14ac:dyDescent="0.3">
      <c r="B5" s="935"/>
      <c r="C5" s="416"/>
      <c r="D5" s="939"/>
      <c r="E5" s="15" t="s">
        <v>108</v>
      </c>
      <c r="F5" s="941" t="s">
        <v>272</v>
      </c>
      <c r="G5" s="88" t="s">
        <v>281</v>
      </c>
      <c r="J5" s="52"/>
      <c r="K5" s="53">
        <v>2004</v>
      </c>
      <c r="L5" s="53">
        <v>2005</v>
      </c>
      <c r="M5" s="53">
        <v>2006</v>
      </c>
      <c r="N5" s="53">
        <v>2007</v>
      </c>
      <c r="O5" s="53">
        <v>2008</v>
      </c>
      <c r="P5" s="53">
        <v>2009</v>
      </c>
      <c r="Q5" s="53">
        <v>2010</v>
      </c>
      <c r="R5" s="53">
        <v>2011</v>
      </c>
      <c r="S5" s="53">
        <v>2012</v>
      </c>
      <c r="T5" s="53">
        <v>2013</v>
      </c>
      <c r="U5" s="53">
        <v>2014</v>
      </c>
      <c r="V5" s="53">
        <v>2015</v>
      </c>
      <c r="W5" s="53">
        <v>2016</v>
      </c>
      <c r="X5" s="53" t="s">
        <v>268</v>
      </c>
      <c r="Y5" s="53" t="s">
        <v>269</v>
      </c>
      <c r="Z5" s="53" t="s">
        <v>270</v>
      </c>
      <c r="AA5" s="53" t="s">
        <v>269</v>
      </c>
    </row>
    <row r="6" spans="2:27" ht="27.75" thickBot="1" x14ac:dyDescent="0.3">
      <c r="B6" s="936"/>
      <c r="C6" s="416"/>
      <c r="D6" s="940"/>
      <c r="E6" s="146" t="s">
        <v>282</v>
      </c>
      <c r="F6" s="942"/>
      <c r="G6" s="89" t="s">
        <v>283</v>
      </c>
      <c r="J6" s="120" t="s">
        <v>285</v>
      </c>
      <c r="K6" s="41">
        <v>-1.4047966940387306</v>
      </c>
      <c r="L6" s="41">
        <v>-1.7506533659351791</v>
      </c>
      <c r="M6" s="41">
        <v>-1.0485301639661544</v>
      </c>
      <c r="N6" s="41">
        <v>2.1911663298463635</v>
      </c>
      <c r="O6" s="41">
        <v>2.4530244557755956</v>
      </c>
      <c r="P6" s="41">
        <v>-4.5586005213269143</v>
      </c>
      <c r="Q6" s="41">
        <v>-1.0438694474156673</v>
      </c>
      <c r="R6" s="41">
        <v>-0.55114038636589835</v>
      </c>
      <c r="S6" s="41">
        <v>-1.2392492508312611</v>
      </c>
      <c r="T6" s="41">
        <v>-1.8098061581903988</v>
      </c>
      <c r="U6" s="41">
        <v>-1.5977619585644702</v>
      </c>
      <c r="V6" s="41">
        <v>-0.74974434416658475</v>
      </c>
      <c r="W6" s="41">
        <v>-0.24538980247807335</v>
      </c>
      <c r="X6" s="41">
        <v>0.19824079131452454</v>
      </c>
      <c r="Y6" s="41">
        <v>0.68292147510253898</v>
      </c>
      <c r="Z6" s="41">
        <v>1.3277666184190509</v>
      </c>
      <c r="AA6" s="41">
        <v>1.3021185824278829</v>
      </c>
    </row>
    <row r="7" spans="2:27" x14ac:dyDescent="0.25">
      <c r="B7" s="936"/>
      <c r="C7" s="416"/>
      <c r="D7" s="145">
        <v>2012</v>
      </c>
      <c r="E7" s="148">
        <v>1.657138</v>
      </c>
      <c r="F7" s="148">
        <v>2.365438008784948</v>
      </c>
      <c r="G7" s="711">
        <v>-1.2392492508312611</v>
      </c>
      <c r="J7" s="120" t="s">
        <v>427</v>
      </c>
      <c r="K7" s="41">
        <v>-1.4047966940387306</v>
      </c>
      <c r="L7" s="41">
        <v>-1.7506533659351791</v>
      </c>
      <c r="M7" s="41">
        <v>-1.0485301639661544</v>
      </c>
      <c r="N7" s="41">
        <v>2.1911663298463635</v>
      </c>
      <c r="O7" s="41">
        <v>2.4530244557755956</v>
      </c>
      <c r="P7" s="41">
        <v>-4.5586005213269143</v>
      </c>
      <c r="Q7" s="41">
        <v>-1.0438694474156673</v>
      </c>
      <c r="R7" s="41">
        <v>-0.55114038636589835</v>
      </c>
      <c r="S7" s="41">
        <v>-1.2392492508312611</v>
      </c>
      <c r="T7" s="41">
        <v>-1.8098061581903988</v>
      </c>
      <c r="U7" s="41">
        <v>-1.5977619585644702</v>
      </c>
      <c r="V7" s="41">
        <v>-0.74974434416658475</v>
      </c>
      <c r="W7" s="41">
        <v>-0.24538980247807335</v>
      </c>
      <c r="X7" s="41">
        <v>0.19824079131452454</v>
      </c>
      <c r="Y7" s="41">
        <v>0.68292147510253898</v>
      </c>
      <c r="Z7" s="41">
        <v>1.3277666184190509</v>
      </c>
      <c r="AA7" s="41">
        <v>1.3021185824278829</v>
      </c>
    </row>
    <row r="8" spans="2:27" x14ac:dyDescent="0.25">
      <c r="B8" s="936"/>
      <c r="C8" s="416"/>
      <c r="D8" s="145">
        <v>2013</v>
      </c>
      <c r="E8" s="148">
        <v>1.4906569999999999</v>
      </c>
      <c r="F8" s="148">
        <v>2.0803813908922164</v>
      </c>
      <c r="G8" s="711">
        <v>-1.8098061581903988</v>
      </c>
    </row>
    <row r="9" spans="2:27" x14ac:dyDescent="0.25">
      <c r="B9" s="936"/>
      <c r="C9" s="416"/>
      <c r="D9" s="145">
        <v>2014</v>
      </c>
      <c r="E9" s="148">
        <v>2.5708549999999999</v>
      </c>
      <c r="F9" s="148">
        <v>2.3498255635582277</v>
      </c>
      <c r="G9" s="711">
        <v>-1.5977619585644702</v>
      </c>
    </row>
    <row r="10" spans="2:27" x14ac:dyDescent="0.25">
      <c r="B10" s="936"/>
      <c r="C10" s="416"/>
      <c r="D10" s="145">
        <v>2015</v>
      </c>
      <c r="E10" s="148">
        <v>3.831086</v>
      </c>
      <c r="F10" s="148">
        <v>2.9439274800685089</v>
      </c>
      <c r="G10" s="711">
        <v>-0.74974434416658475</v>
      </c>
    </row>
    <row r="11" spans="2:27" ht="14.25" thickBot="1" x14ac:dyDescent="0.3">
      <c r="B11" s="936"/>
      <c r="C11" s="416"/>
      <c r="D11" s="712">
        <v>2016</v>
      </c>
      <c r="E11" s="269">
        <v>3.3</v>
      </c>
      <c r="F11" s="269">
        <v>2.8268628810634189</v>
      </c>
      <c r="G11" s="713">
        <v>-0.24538980247807335</v>
      </c>
    </row>
    <row r="12" spans="2:27" x14ac:dyDescent="0.25">
      <c r="B12" s="936"/>
      <c r="C12" s="416"/>
      <c r="D12" s="145" t="s">
        <v>268</v>
      </c>
      <c r="E12" s="148">
        <v>3.3</v>
      </c>
      <c r="F12" s="148">
        <v>2.8578744853718474</v>
      </c>
      <c r="G12" s="711">
        <v>0.19824079131452454</v>
      </c>
    </row>
    <row r="13" spans="2:27" x14ac:dyDescent="0.25">
      <c r="B13" s="936"/>
      <c r="C13" s="416"/>
      <c r="D13" s="145" t="s">
        <v>269</v>
      </c>
      <c r="E13" s="148">
        <v>4</v>
      </c>
      <c r="F13" s="148">
        <v>3.5142565906280288</v>
      </c>
      <c r="G13" s="711">
        <v>0.68292147510253898</v>
      </c>
    </row>
    <row r="14" spans="2:27" x14ac:dyDescent="0.25">
      <c r="B14" s="936"/>
      <c r="C14" s="416"/>
      <c r="D14" s="145" t="s">
        <v>270</v>
      </c>
      <c r="E14" s="148">
        <v>4.4000000000000004</v>
      </c>
      <c r="F14" s="148">
        <v>3.6981710740431772</v>
      </c>
      <c r="G14" s="711">
        <v>1.3277666184190509</v>
      </c>
    </row>
    <row r="15" spans="2:27" ht="14.25" thickBot="1" x14ac:dyDescent="0.3">
      <c r="B15" s="937"/>
      <c r="C15" s="416"/>
      <c r="D15" s="712" t="s">
        <v>631</v>
      </c>
      <c r="E15" s="269">
        <v>3.8</v>
      </c>
      <c r="F15" s="269">
        <v>3.8366449939987612</v>
      </c>
      <c r="G15" s="713">
        <v>1.3021185824278829</v>
      </c>
    </row>
    <row r="16" spans="2:27" ht="15" customHeight="1" x14ac:dyDescent="0.25">
      <c r="B16" s="84" t="s">
        <v>531</v>
      </c>
      <c r="C16" s="435"/>
      <c r="D16" s="938" t="s">
        <v>284</v>
      </c>
      <c r="E16" s="938"/>
      <c r="F16" s="938"/>
      <c r="G16" s="938"/>
    </row>
    <row r="19" spans="2:7" ht="14.25" thickBot="1" x14ac:dyDescent="0.3">
      <c r="B19" s="710" t="s">
        <v>1032</v>
      </c>
      <c r="C19" s="413"/>
      <c r="D19" s="897" t="s">
        <v>539</v>
      </c>
      <c r="E19" s="897"/>
      <c r="F19" s="897"/>
      <c r="G19" s="897"/>
    </row>
    <row r="20" spans="2:7" ht="15" customHeight="1" x14ac:dyDescent="0.25">
      <c r="B20" s="935"/>
      <c r="C20" s="416"/>
      <c r="D20" s="939"/>
      <c r="E20" s="15" t="s">
        <v>340</v>
      </c>
      <c r="F20" s="941" t="s">
        <v>424</v>
      </c>
      <c r="G20" s="88" t="s">
        <v>429</v>
      </c>
    </row>
    <row r="21" spans="2:7" ht="27.75" thickBot="1" x14ac:dyDescent="0.3">
      <c r="B21" s="936"/>
      <c r="C21" s="416"/>
      <c r="D21" s="940"/>
      <c r="E21" s="146" t="s">
        <v>428</v>
      </c>
      <c r="F21" s="942"/>
      <c r="G21" s="89" t="s">
        <v>430</v>
      </c>
    </row>
    <row r="22" spans="2:7" x14ac:dyDescent="0.25">
      <c r="B22" s="936"/>
      <c r="C22" s="416"/>
      <c r="D22" s="145">
        <v>2012</v>
      </c>
      <c r="E22" s="148">
        <v>1.657138</v>
      </c>
      <c r="F22" s="148">
        <v>2.365438008784948</v>
      </c>
      <c r="G22" s="711">
        <v>-1.2392492508312611</v>
      </c>
    </row>
    <row r="23" spans="2:7" x14ac:dyDescent="0.25">
      <c r="B23" s="936"/>
      <c r="C23" s="416"/>
      <c r="D23" s="145">
        <v>2013</v>
      </c>
      <c r="E23" s="148">
        <v>1.4906569999999999</v>
      </c>
      <c r="F23" s="148">
        <v>2.0803813908922164</v>
      </c>
      <c r="G23" s="711">
        <v>-1.8098061581903988</v>
      </c>
    </row>
    <row r="24" spans="2:7" x14ac:dyDescent="0.25">
      <c r="B24" s="936"/>
      <c r="C24" s="416"/>
      <c r="D24" s="145">
        <v>2014</v>
      </c>
      <c r="E24" s="148">
        <v>2.5708549999999999</v>
      </c>
      <c r="F24" s="148">
        <v>2.3498255635582277</v>
      </c>
      <c r="G24" s="711">
        <v>-1.5977619585644702</v>
      </c>
    </row>
    <row r="25" spans="2:7" x14ac:dyDescent="0.25">
      <c r="B25" s="936"/>
      <c r="C25" s="416"/>
      <c r="D25" s="145">
        <v>2015</v>
      </c>
      <c r="E25" s="148">
        <v>3.831086</v>
      </c>
      <c r="F25" s="148">
        <v>2.9439274800685089</v>
      </c>
      <c r="G25" s="711">
        <v>-0.74974434416658475</v>
      </c>
    </row>
    <row r="26" spans="2:7" ht="14.25" thickBot="1" x14ac:dyDescent="0.3">
      <c r="B26" s="936"/>
      <c r="C26" s="416"/>
      <c r="D26" s="712">
        <v>2016</v>
      </c>
      <c r="E26" s="269">
        <v>3.3</v>
      </c>
      <c r="F26" s="269">
        <v>2.8268628810634189</v>
      </c>
      <c r="G26" s="713">
        <v>-0.24538980247807335</v>
      </c>
    </row>
    <row r="27" spans="2:7" x14ac:dyDescent="0.25">
      <c r="B27" s="936"/>
      <c r="C27" s="416"/>
      <c r="D27" s="145" t="s">
        <v>268</v>
      </c>
      <c r="E27" s="148">
        <v>3.3</v>
      </c>
      <c r="F27" s="148">
        <v>2.8578744853718474</v>
      </c>
      <c r="G27" s="711">
        <v>0.19824079131452454</v>
      </c>
    </row>
    <row r="28" spans="2:7" x14ac:dyDescent="0.25">
      <c r="B28" s="936"/>
      <c r="C28" s="416"/>
      <c r="D28" s="145" t="s">
        <v>269</v>
      </c>
      <c r="E28" s="148">
        <v>4</v>
      </c>
      <c r="F28" s="148">
        <v>3.5142565906280288</v>
      </c>
      <c r="G28" s="711">
        <v>0.68292147510253898</v>
      </c>
    </row>
    <row r="29" spans="2:7" x14ac:dyDescent="0.25">
      <c r="B29" s="936"/>
      <c r="C29" s="416"/>
      <c r="D29" s="145" t="s">
        <v>270</v>
      </c>
      <c r="E29" s="148">
        <v>4.4000000000000004</v>
      </c>
      <c r="F29" s="148">
        <v>3.6981710740431772</v>
      </c>
      <c r="G29" s="711">
        <v>1.3277666184190509</v>
      </c>
    </row>
    <row r="30" spans="2:7" ht="14.25" thickBot="1" x14ac:dyDescent="0.3">
      <c r="B30" s="937"/>
      <c r="C30" s="416"/>
      <c r="D30" s="712" t="s">
        <v>631</v>
      </c>
      <c r="E30" s="269">
        <v>3.8</v>
      </c>
      <c r="F30" s="269">
        <v>3.8366449939987612</v>
      </c>
      <c r="G30" s="713">
        <v>1.3021185824278829</v>
      </c>
    </row>
    <row r="31" spans="2:7" x14ac:dyDescent="0.25">
      <c r="B31" s="84" t="s">
        <v>532</v>
      </c>
      <c r="C31" s="435"/>
      <c r="D31" s="938" t="s">
        <v>532</v>
      </c>
      <c r="E31" s="938"/>
      <c r="F31" s="938"/>
      <c r="G31" s="938"/>
    </row>
  </sheetData>
  <mergeCells count="10">
    <mergeCell ref="B20:B30"/>
    <mergeCell ref="D20:D21"/>
    <mergeCell ref="F20:F21"/>
    <mergeCell ref="D31:G31"/>
    <mergeCell ref="D4:G4"/>
    <mergeCell ref="B5:B15"/>
    <mergeCell ref="D5:D6"/>
    <mergeCell ref="F5:F6"/>
    <mergeCell ref="D16:G16"/>
    <mergeCell ref="D19:G1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3:D52"/>
  <sheetViews>
    <sheetView showGridLines="0" zoomScale="85" zoomScaleNormal="85" workbookViewId="0">
      <selection activeCell="C39" sqref="C39"/>
    </sheetView>
  </sheetViews>
  <sheetFormatPr defaultRowHeight="13.5" x14ac:dyDescent="0.25"/>
  <cols>
    <col min="1" max="1" width="24.42578125" style="40" customWidth="1"/>
    <col min="2" max="3" width="9.28515625" style="40" bestFit="1" customWidth="1"/>
    <col min="4" max="4" width="5" style="40" bestFit="1" customWidth="1"/>
    <col min="5" max="16384" width="9.140625" style="40"/>
  </cols>
  <sheetData>
    <row r="3" spans="1:4" ht="14.25" thickBot="1" x14ac:dyDescent="0.3">
      <c r="A3" s="896" t="s">
        <v>685</v>
      </c>
      <c r="B3" s="896"/>
      <c r="C3" s="896"/>
      <c r="D3" s="896"/>
    </row>
    <row r="4" spans="1:4" ht="14.25" thickBot="1" x14ac:dyDescent="0.3">
      <c r="A4" s="702"/>
      <c r="B4" s="703">
        <v>2016</v>
      </c>
      <c r="C4" s="703">
        <v>2017</v>
      </c>
      <c r="D4" s="703">
        <v>2018</v>
      </c>
    </row>
    <row r="5" spans="1:4" ht="15.75" customHeight="1" thickBot="1" x14ac:dyDescent="0.3">
      <c r="A5" s="943" t="s">
        <v>43</v>
      </c>
      <c r="B5" s="943"/>
      <c r="C5" s="943"/>
      <c r="D5" s="943"/>
    </row>
    <row r="6" spans="1:4" ht="15.75" customHeight="1" x14ac:dyDescent="0.25">
      <c r="A6" s="704" t="s">
        <v>5</v>
      </c>
      <c r="B6" s="705">
        <v>3.3</v>
      </c>
      <c r="C6" s="705">
        <v>3.3</v>
      </c>
      <c r="D6" s="705">
        <v>4</v>
      </c>
    </row>
    <row r="7" spans="1:4" x14ac:dyDescent="0.25">
      <c r="A7" s="706" t="s">
        <v>44</v>
      </c>
      <c r="B7" s="707">
        <v>3.3</v>
      </c>
      <c r="C7" s="707">
        <v>3.3</v>
      </c>
      <c r="D7" s="707">
        <v>3.9</v>
      </c>
    </row>
    <row r="8" spans="1:4" x14ac:dyDescent="0.25">
      <c r="A8" s="706" t="s">
        <v>45</v>
      </c>
      <c r="B8" s="707">
        <v>3.3</v>
      </c>
      <c r="C8" s="707">
        <v>3.1</v>
      </c>
      <c r="D8" s="707">
        <v>4.2</v>
      </c>
    </row>
    <row r="9" spans="1:4" x14ac:dyDescent="0.25">
      <c r="A9" s="706" t="s">
        <v>6</v>
      </c>
      <c r="B9" s="707">
        <v>3.3</v>
      </c>
      <c r="C9" s="707">
        <v>2.9</v>
      </c>
      <c r="D9" s="707">
        <v>3.6</v>
      </c>
    </row>
    <row r="10" spans="1:4" ht="25.5" customHeight="1" x14ac:dyDescent="0.25">
      <c r="A10" s="706" t="s">
        <v>46</v>
      </c>
      <c r="B10" s="707">
        <v>3.6</v>
      </c>
      <c r="C10" s="707">
        <v>3.4</v>
      </c>
      <c r="D10" s="707">
        <v>3.8</v>
      </c>
    </row>
    <row r="11" spans="1:4" ht="14.25" thickBot="1" x14ac:dyDescent="0.3">
      <c r="A11" s="708" t="s">
        <v>47</v>
      </c>
      <c r="B11" s="709">
        <v>3.4</v>
      </c>
      <c r="C11" s="709">
        <v>3.3</v>
      </c>
      <c r="D11" s="709">
        <v>3.7</v>
      </c>
    </row>
    <row r="12" spans="1:4" ht="14.25" thickBot="1" x14ac:dyDescent="0.3">
      <c r="A12" s="944" t="s">
        <v>48</v>
      </c>
      <c r="B12" s="944"/>
      <c r="C12" s="944"/>
      <c r="D12" s="944"/>
    </row>
    <row r="13" spans="1:4" ht="15.75" customHeight="1" x14ac:dyDescent="0.25">
      <c r="A13" s="704" t="s">
        <v>5</v>
      </c>
      <c r="B13" s="705">
        <v>-0.5</v>
      </c>
      <c r="C13" s="705">
        <v>1.1000000000000001</v>
      </c>
      <c r="D13" s="705">
        <v>1.7</v>
      </c>
    </row>
    <row r="14" spans="1:4" x14ac:dyDescent="0.25">
      <c r="A14" s="706" t="s">
        <v>44</v>
      </c>
      <c r="B14" s="707">
        <v>-0.5</v>
      </c>
      <c r="C14" s="707">
        <v>1.1000000000000001</v>
      </c>
      <c r="D14" s="707">
        <v>1.8</v>
      </c>
    </row>
    <row r="15" spans="1:4" x14ac:dyDescent="0.25">
      <c r="A15" s="706" t="s">
        <v>45</v>
      </c>
      <c r="B15" s="707">
        <v>-0.5</v>
      </c>
      <c r="C15" s="707">
        <v>1.2</v>
      </c>
      <c r="D15" s="707">
        <v>1.9</v>
      </c>
    </row>
    <row r="16" spans="1:4" x14ac:dyDescent="0.25">
      <c r="A16" s="706" t="s">
        <v>6</v>
      </c>
      <c r="B16" s="707">
        <v>-0.5</v>
      </c>
      <c r="C16" s="707">
        <v>0.9</v>
      </c>
      <c r="D16" s="707">
        <v>1.4</v>
      </c>
    </row>
    <row r="17" spans="1:4" ht="25.5" customHeight="1" x14ac:dyDescent="0.25">
      <c r="A17" s="706" t="s">
        <v>46</v>
      </c>
      <c r="B17" s="707">
        <v>-0.5</v>
      </c>
      <c r="C17" s="707">
        <v>0.8</v>
      </c>
      <c r="D17" s="707">
        <v>1.4</v>
      </c>
    </row>
    <row r="18" spans="1:4" ht="14.25" thickBot="1" x14ac:dyDescent="0.3">
      <c r="A18" s="708" t="s">
        <v>47</v>
      </c>
      <c r="B18" s="709">
        <v>-0.2</v>
      </c>
      <c r="C18" s="709">
        <v>1.1000000000000001</v>
      </c>
      <c r="D18" s="709">
        <v>2</v>
      </c>
    </row>
    <row r="19" spans="1:4" ht="15.75" customHeight="1" thickBot="1" x14ac:dyDescent="0.3">
      <c r="A19" s="944" t="s">
        <v>49</v>
      </c>
      <c r="B19" s="944"/>
      <c r="C19" s="944"/>
      <c r="D19" s="944"/>
    </row>
    <row r="20" spans="1:4" ht="15.75" customHeight="1" x14ac:dyDescent="0.25">
      <c r="A20" s="704" t="s">
        <v>5</v>
      </c>
      <c r="B20" s="705">
        <v>0.2</v>
      </c>
      <c r="C20" s="705">
        <v>1.7</v>
      </c>
      <c r="D20" s="705">
        <v>2.4</v>
      </c>
    </row>
    <row r="21" spans="1:4" x14ac:dyDescent="0.25">
      <c r="A21" s="706" t="s">
        <v>44</v>
      </c>
      <c r="B21" s="707">
        <v>0.1</v>
      </c>
      <c r="C21" s="707">
        <v>0.2</v>
      </c>
      <c r="D21" s="707">
        <v>0.9</v>
      </c>
    </row>
    <row r="22" spans="1:4" x14ac:dyDescent="0.25">
      <c r="A22" s="706" t="s">
        <v>45</v>
      </c>
      <c r="B22" s="707">
        <v>1.1000000000000001</v>
      </c>
      <c r="C22" s="707">
        <v>1.1000000000000001</v>
      </c>
      <c r="D22" s="707">
        <v>1.6</v>
      </c>
    </row>
    <row r="23" spans="1:4" x14ac:dyDescent="0.25">
      <c r="A23" s="706" t="s">
        <v>6</v>
      </c>
      <c r="B23" s="707">
        <v>1.2</v>
      </c>
      <c r="C23" s="707">
        <v>1.2</v>
      </c>
      <c r="D23" s="707">
        <v>1.5</v>
      </c>
    </row>
    <row r="24" spans="1:4" ht="25.5" customHeight="1" x14ac:dyDescent="0.25">
      <c r="A24" s="706" t="s">
        <v>46</v>
      </c>
      <c r="B24" s="707">
        <v>-1.4</v>
      </c>
      <c r="C24" s="707">
        <v>-0.7</v>
      </c>
      <c r="D24" s="707">
        <v>0.3</v>
      </c>
    </row>
    <row r="25" spans="1:4" ht="14.25" thickBot="1" x14ac:dyDescent="0.3">
      <c r="A25" s="708" t="s">
        <v>47</v>
      </c>
      <c r="B25" s="709">
        <v>-1</v>
      </c>
      <c r="C25" s="709">
        <v>-0.6</v>
      </c>
      <c r="D25" s="709">
        <v>2.1</v>
      </c>
    </row>
    <row r="26" spans="1:4" x14ac:dyDescent="0.25">
      <c r="A26" s="945" t="s">
        <v>50</v>
      </c>
      <c r="B26" s="945"/>
      <c r="C26" s="945"/>
      <c r="D26" s="945"/>
    </row>
    <row r="27" spans="1:4" ht="15" customHeight="1" x14ac:dyDescent="0.25"/>
    <row r="29" spans="1:4" ht="14.25" thickBot="1" x14ac:dyDescent="0.3">
      <c r="A29" s="896" t="s">
        <v>686</v>
      </c>
      <c r="B29" s="896"/>
      <c r="C29" s="896"/>
      <c r="D29" s="896"/>
    </row>
    <row r="30" spans="1:4" ht="14.25" thickBot="1" x14ac:dyDescent="0.3">
      <c r="A30" s="702"/>
      <c r="B30" s="703">
        <v>2016</v>
      </c>
      <c r="C30" s="703">
        <v>2017</v>
      </c>
      <c r="D30" s="703">
        <v>2018</v>
      </c>
    </row>
    <row r="31" spans="1:4" ht="14.25" thickBot="1" x14ac:dyDescent="0.3">
      <c r="A31" s="943" t="s">
        <v>346</v>
      </c>
      <c r="B31" s="943"/>
      <c r="C31" s="943"/>
      <c r="D31" s="943"/>
    </row>
    <row r="32" spans="1:4" x14ac:dyDescent="0.25">
      <c r="A32" s="704" t="s">
        <v>5</v>
      </c>
      <c r="B32" s="705">
        <v>3.3</v>
      </c>
      <c r="C32" s="705">
        <v>3.3</v>
      </c>
      <c r="D32" s="705">
        <v>4</v>
      </c>
    </row>
    <row r="33" spans="1:4" x14ac:dyDescent="0.25">
      <c r="A33" s="706" t="s">
        <v>431</v>
      </c>
      <c r="B33" s="707">
        <v>3.3</v>
      </c>
      <c r="C33" s="707">
        <v>3.3</v>
      </c>
      <c r="D33" s="707">
        <v>3.9</v>
      </c>
    </row>
    <row r="34" spans="1:4" x14ac:dyDescent="0.25">
      <c r="A34" s="706" t="s">
        <v>45</v>
      </c>
      <c r="B34" s="707">
        <v>3.3</v>
      </c>
      <c r="C34" s="707">
        <v>3.1</v>
      </c>
      <c r="D34" s="707">
        <v>4.2</v>
      </c>
    </row>
    <row r="35" spans="1:4" x14ac:dyDescent="0.25">
      <c r="A35" s="706" t="s">
        <v>432</v>
      </c>
      <c r="B35" s="707">
        <v>3.3</v>
      </c>
      <c r="C35" s="707">
        <v>2.9</v>
      </c>
      <c r="D35" s="707">
        <v>3.6</v>
      </c>
    </row>
    <row r="36" spans="1:4" x14ac:dyDescent="0.25">
      <c r="A36" s="706" t="s">
        <v>46</v>
      </c>
      <c r="B36" s="707">
        <v>3.6</v>
      </c>
      <c r="C36" s="707">
        <v>3.4</v>
      </c>
      <c r="D36" s="707">
        <v>3.8</v>
      </c>
    </row>
    <row r="37" spans="1:4" ht="14.25" thickBot="1" x14ac:dyDescent="0.3">
      <c r="A37" s="708" t="s">
        <v>433</v>
      </c>
      <c r="B37" s="709">
        <v>3.4</v>
      </c>
      <c r="C37" s="709">
        <v>3.3</v>
      </c>
      <c r="D37" s="709">
        <v>3.7</v>
      </c>
    </row>
    <row r="38" spans="1:4" ht="14.25" thickBot="1" x14ac:dyDescent="0.3">
      <c r="A38" s="944" t="s">
        <v>48</v>
      </c>
      <c r="B38" s="944"/>
      <c r="C38" s="944"/>
      <c r="D38" s="944"/>
    </row>
    <row r="39" spans="1:4" x14ac:dyDescent="0.25">
      <c r="A39" s="704" t="s">
        <v>5</v>
      </c>
      <c r="B39" s="705">
        <v>-0.5</v>
      </c>
      <c r="C39" s="705">
        <v>1.1000000000000001</v>
      </c>
      <c r="D39" s="705">
        <v>1.7</v>
      </c>
    </row>
    <row r="40" spans="1:4" x14ac:dyDescent="0.25">
      <c r="A40" s="706" t="s">
        <v>431</v>
      </c>
      <c r="B40" s="707">
        <v>-0.5</v>
      </c>
      <c r="C40" s="707">
        <v>1.1000000000000001</v>
      </c>
      <c r="D40" s="707">
        <v>1.8</v>
      </c>
    </row>
    <row r="41" spans="1:4" x14ac:dyDescent="0.25">
      <c r="A41" s="706" t="s">
        <v>45</v>
      </c>
      <c r="B41" s="707">
        <v>-0.5</v>
      </c>
      <c r="C41" s="707">
        <v>1.2</v>
      </c>
      <c r="D41" s="707">
        <v>1.9</v>
      </c>
    </row>
    <row r="42" spans="1:4" x14ac:dyDescent="0.25">
      <c r="A42" s="706" t="s">
        <v>432</v>
      </c>
      <c r="B42" s="707">
        <v>-0.5</v>
      </c>
      <c r="C42" s="707">
        <v>0.9</v>
      </c>
      <c r="D42" s="707">
        <v>1.4</v>
      </c>
    </row>
    <row r="43" spans="1:4" x14ac:dyDescent="0.25">
      <c r="A43" s="706" t="s">
        <v>46</v>
      </c>
      <c r="B43" s="707">
        <v>-0.5</v>
      </c>
      <c r="C43" s="707">
        <v>0.8</v>
      </c>
      <c r="D43" s="707">
        <v>1.4</v>
      </c>
    </row>
    <row r="44" spans="1:4" ht="14.25" thickBot="1" x14ac:dyDescent="0.3">
      <c r="A44" s="708" t="s">
        <v>433</v>
      </c>
      <c r="B44" s="709">
        <v>-0.2</v>
      </c>
      <c r="C44" s="709">
        <v>1.1000000000000001</v>
      </c>
      <c r="D44" s="709">
        <v>2</v>
      </c>
    </row>
    <row r="45" spans="1:4" ht="14.25" thickBot="1" x14ac:dyDescent="0.3">
      <c r="A45" s="944" t="s">
        <v>434</v>
      </c>
      <c r="B45" s="944"/>
      <c r="C45" s="944"/>
      <c r="D45" s="944"/>
    </row>
    <row r="46" spans="1:4" x14ac:dyDescent="0.25">
      <c r="A46" s="704" t="s">
        <v>5</v>
      </c>
      <c r="B46" s="705">
        <v>0.2</v>
      </c>
      <c r="C46" s="705">
        <v>1.7</v>
      </c>
      <c r="D46" s="705">
        <v>2.4</v>
      </c>
    </row>
    <row r="47" spans="1:4" x14ac:dyDescent="0.25">
      <c r="A47" s="706" t="s">
        <v>431</v>
      </c>
      <c r="B47" s="707">
        <v>0.1</v>
      </c>
      <c r="C47" s="707">
        <v>0.2</v>
      </c>
      <c r="D47" s="707">
        <v>0.9</v>
      </c>
    </row>
    <row r="48" spans="1:4" x14ac:dyDescent="0.25">
      <c r="A48" s="706" t="s">
        <v>45</v>
      </c>
      <c r="B48" s="707">
        <v>1.1000000000000001</v>
      </c>
      <c r="C48" s="707">
        <v>1.1000000000000001</v>
      </c>
      <c r="D48" s="707">
        <v>1.6</v>
      </c>
    </row>
    <row r="49" spans="1:4" x14ac:dyDescent="0.25">
      <c r="A49" s="706" t="s">
        <v>432</v>
      </c>
      <c r="B49" s="707">
        <v>1.2</v>
      </c>
      <c r="C49" s="707">
        <v>1.2</v>
      </c>
      <c r="D49" s="707">
        <v>1.5</v>
      </c>
    </row>
    <row r="50" spans="1:4" x14ac:dyDescent="0.25">
      <c r="A50" s="706" t="s">
        <v>46</v>
      </c>
      <c r="B50" s="707">
        <v>-1.4</v>
      </c>
      <c r="C50" s="707">
        <v>-0.7</v>
      </c>
      <c r="D50" s="707">
        <v>0.3</v>
      </c>
    </row>
    <row r="51" spans="1:4" ht="14.25" thickBot="1" x14ac:dyDescent="0.3">
      <c r="A51" s="708" t="s">
        <v>433</v>
      </c>
      <c r="B51" s="709">
        <v>-1</v>
      </c>
      <c r="C51" s="709">
        <v>-0.6</v>
      </c>
      <c r="D51" s="709">
        <v>2.1</v>
      </c>
    </row>
    <row r="52" spans="1:4" x14ac:dyDescent="0.25">
      <c r="A52" s="945" t="s">
        <v>435</v>
      </c>
      <c r="B52" s="945"/>
      <c r="C52" s="945"/>
      <c r="D52" s="945"/>
    </row>
  </sheetData>
  <mergeCells count="10">
    <mergeCell ref="A29:D29"/>
    <mergeCell ref="A31:D31"/>
    <mergeCell ref="A38:D38"/>
    <mergeCell ref="A45:D45"/>
    <mergeCell ref="A52:D52"/>
    <mergeCell ref="A3:D3"/>
    <mergeCell ref="A5:D5"/>
    <mergeCell ref="A12:D12"/>
    <mergeCell ref="A19:D19"/>
    <mergeCell ref="A26:D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3:P49"/>
  <sheetViews>
    <sheetView showGridLines="0" zoomScale="85" zoomScaleNormal="85" workbookViewId="0"/>
  </sheetViews>
  <sheetFormatPr defaultRowHeight="13.5" x14ac:dyDescent="0.25"/>
  <cols>
    <col min="1" max="1" width="34.7109375" style="40" customWidth="1"/>
    <col min="2" max="7" width="7.5703125" style="40" customWidth="1"/>
    <col min="8" max="8" width="2" style="40" customWidth="1"/>
    <col min="9" max="9" width="2.5703125" style="40" customWidth="1"/>
    <col min="10" max="10" width="28.7109375" style="40" customWidth="1"/>
    <col min="11" max="16" width="6.5703125" style="40" bestFit="1" customWidth="1"/>
    <col min="17" max="16384" width="9.140625" style="40"/>
  </cols>
  <sheetData>
    <row r="3" spans="1:16" x14ac:dyDescent="0.25">
      <c r="A3" s="120"/>
    </row>
    <row r="4" spans="1:16" ht="14.25" thickBot="1" x14ac:dyDescent="0.3">
      <c r="A4" s="649" t="s">
        <v>1608</v>
      </c>
      <c r="B4" s="52"/>
      <c r="C4" s="52"/>
      <c r="D4" s="52"/>
      <c r="E4" s="52"/>
      <c r="H4" s="393"/>
      <c r="I4" s="393"/>
      <c r="J4" s="649" t="s">
        <v>1609</v>
      </c>
      <c r="K4" s="52"/>
      <c r="L4" s="52"/>
      <c r="M4" s="52"/>
      <c r="N4" s="52"/>
      <c r="O4" s="52"/>
      <c r="P4" s="52"/>
    </row>
    <row r="19" spans="1:16" ht="14.25" thickBot="1" x14ac:dyDescent="0.3">
      <c r="A19" s="896" t="s">
        <v>1610</v>
      </c>
      <c r="B19" s="896"/>
      <c r="C19" s="896"/>
      <c r="D19" s="896"/>
      <c r="E19" s="896"/>
      <c r="F19" s="896"/>
      <c r="G19" s="896"/>
      <c r="J19" s="897" t="s">
        <v>1601</v>
      </c>
      <c r="K19" s="897"/>
      <c r="L19" s="897"/>
      <c r="M19" s="897"/>
      <c r="N19" s="897"/>
      <c r="O19" s="897"/>
      <c r="P19" s="897"/>
    </row>
    <row r="20" spans="1:16" ht="14.25" thickBot="1" x14ac:dyDescent="0.3">
      <c r="A20" s="182"/>
      <c r="B20" s="146">
        <f>'Tab 18 '!B4</f>
        <v>2015</v>
      </c>
      <c r="C20" s="146">
        <f>'Tab 18 '!C4</f>
        <v>2016</v>
      </c>
      <c r="D20" s="146">
        <f>'Tab 18 '!D4</f>
        <v>2017</v>
      </c>
      <c r="E20" s="146">
        <f>'Tab 18 '!E4</f>
        <v>2018</v>
      </c>
      <c r="F20" s="146">
        <f>'Tab 18 '!F4</f>
        <v>2019</v>
      </c>
      <c r="G20" s="146">
        <f>'Tab 18 '!G4</f>
        <v>2020</v>
      </c>
      <c r="J20" s="18"/>
      <c r="K20" s="12">
        <f>'Tab 20 '!B5</f>
        <v>2015</v>
      </c>
      <c r="L20" s="12">
        <f>'Tab 20 '!C5</f>
        <v>2016</v>
      </c>
      <c r="M20" s="12">
        <f>'Tab 20 '!D5</f>
        <v>2017</v>
      </c>
      <c r="N20" s="12">
        <f>'Tab 20 '!E5</f>
        <v>2018</v>
      </c>
      <c r="O20" s="12">
        <f>'Tab 20 '!F5</f>
        <v>2019</v>
      </c>
      <c r="P20" s="12">
        <f>'Tab 20 '!G5</f>
        <v>2020</v>
      </c>
    </row>
    <row r="21" spans="1:16" x14ac:dyDescent="0.25">
      <c r="A21" s="1" t="s">
        <v>148</v>
      </c>
      <c r="B21" s="45">
        <f>'Tab 18 '!B5</f>
        <v>-2.7445806862164637</v>
      </c>
      <c r="C21" s="45">
        <f>'Tab 18 '!C5</f>
        <v>-1.6817818285144437</v>
      </c>
      <c r="D21" s="45">
        <f>'Tab 18 '!D5</f>
        <v>-1.2399995686941512</v>
      </c>
      <c r="E21" s="97">
        <f>'Tab 18 '!E5</f>
        <v>-0.50000000000000522</v>
      </c>
      <c r="F21" s="97">
        <f>'Tab 18 '!F5</f>
        <v>0</v>
      </c>
      <c r="G21" s="97">
        <f>'Tab 18 '!G5</f>
        <v>0</v>
      </c>
      <c r="J21" s="16" t="s">
        <v>82</v>
      </c>
      <c r="K21" s="38">
        <f>'Tab 20 '!B6</f>
        <v>52.480982290941959</v>
      </c>
      <c r="L21" s="38">
        <f>'Tab 20 '!C6</f>
        <v>51.944515578719063</v>
      </c>
      <c r="M21" s="38">
        <f>'Tab 20 '!D6</f>
        <v>51.753576813312797</v>
      </c>
      <c r="N21" s="38">
        <f>'Tab 20 '!E6</f>
        <v>49.936921613254334</v>
      </c>
      <c r="O21" s="38">
        <f>'Tab 20 '!F6</f>
        <v>47.993310076994348</v>
      </c>
      <c r="P21" s="38">
        <f>'Tab 20 '!G6</f>
        <v>45.978313115681118</v>
      </c>
    </row>
    <row r="22" spans="1:16" ht="14.25" thickBot="1" x14ac:dyDescent="0.3">
      <c r="A22" s="3" t="s">
        <v>149</v>
      </c>
      <c r="B22" s="68">
        <f>'Tab 18 '!B8</f>
        <v>-2.3215508695872575</v>
      </c>
      <c r="C22" s="68">
        <f>'Tab 18 '!C8</f>
        <v>-1.3881204053720908</v>
      </c>
      <c r="D22" s="68">
        <f>'Tab 18 '!D8</f>
        <v>-1.0124596682186437</v>
      </c>
      <c r="E22" s="68">
        <f>'Tab 18 '!E8</f>
        <v>-0.40487011073020646</v>
      </c>
      <c r="F22" s="68">
        <f>'Tab 18 '!F8</f>
        <v>-0.24007295457461639</v>
      </c>
      <c r="G22" s="68">
        <f>'Tab 18 '!G8</f>
        <v>-0.36551718565750513</v>
      </c>
      <c r="J22" s="16" t="s">
        <v>147</v>
      </c>
      <c r="K22" s="38">
        <f>K21-K23</f>
        <v>49.253149452010376</v>
      </c>
      <c r="L22" s="38">
        <f t="shared" ref="L22:P22" si="0">L21-L23</f>
        <v>48.80728421301373</v>
      </c>
      <c r="M22" s="38">
        <f t="shared" si="0"/>
        <v>48.750704605901639</v>
      </c>
      <c r="N22" s="38">
        <f t="shared" si="0"/>
        <v>47.09437939669445</v>
      </c>
      <c r="O22" s="38">
        <f t="shared" si="0"/>
        <v>45.321849152305461</v>
      </c>
      <c r="P22" s="38">
        <f t="shared" si="0"/>
        <v>43.456875600375923</v>
      </c>
    </row>
    <row r="23" spans="1:16" ht="14.25" thickBot="1" x14ac:dyDescent="0.3">
      <c r="A23" s="112" t="s">
        <v>150</v>
      </c>
      <c r="B23" s="68">
        <f>'Tab 18 '!B9</f>
        <v>-0.11919044031814474</v>
      </c>
      <c r="C23" s="68">
        <f>C22-B22</f>
        <v>0.93343046421516673</v>
      </c>
      <c r="D23" s="68">
        <f t="shared" ref="D23:G23" si="1">D22-C22</f>
        <v>0.37566073715344706</v>
      </c>
      <c r="E23" s="68">
        <f t="shared" si="1"/>
        <v>0.60758955748843735</v>
      </c>
      <c r="F23" s="68">
        <f t="shared" si="1"/>
        <v>0.16479715615559007</v>
      </c>
      <c r="G23" s="68">
        <f t="shared" si="1"/>
        <v>-0.12544423108288874</v>
      </c>
      <c r="J23" s="16" t="s">
        <v>146</v>
      </c>
      <c r="K23" s="38">
        <f>'Tab 20 '!B14</f>
        <v>3.2278328389315822</v>
      </c>
      <c r="L23" s="38">
        <f>'Tab 20 '!C14</f>
        <v>3.1372313657053303</v>
      </c>
      <c r="M23" s="38">
        <f>'Tab 20 '!D14</f>
        <v>3.0028722074111593</v>
      </c>
      <c r="N23" s="38">
        <f>'Tab 20 '!E14</f>
        <v>2.8425422165598846</v>
      </c>
      <c r="O23" s="38">
        <f>'Tab 20 '!F14</f>
        <v>2.671460924688887</v>
      </c>
      <c r="P23" s="38">
        <f>'Tab 20 '!G14</f>
        <v>2.5214375153051916</v>
      </c>
    </row>
    <row r="24" spans="1:16" ht="14.25" thickBot="1" x14ac:dyDescent="0.3">
      <c r="A24" s="5"/>
      <c r="B24" s="37"/>
      <c r="C24" s="37"/>
      <c r="D24" s="81"/>
      <c r="E24" s="37"/>
      <c r="F24" s="37"/>
      <c r="G24" s="37"/>
      <c r="J24" s="46" t="s">
        <v>151</v>
      </c>
      <c r="K24" s="39">
        <f>'Tab 20 '!B12</f>
        <v>48.214345627220681</v>
      </c>
      <c r="L24" s="39">
        <f>'Tab 20 '!C12</f>
        <v>47.004140566509029</v>
      </c>
      <c r="M24" s="39">
        <f>'Tab 20 '!D12</f>
        <v>46.852281109816708</v>
      </c>
      <c r="N24" s="39">
        <f>'Tab 20 '!E12</f>
        <v>45.090520052349831</v>
      </c>
      <c r="O24" s="39">
        <f>'Tab 20 '!F12</f>
        <v>42.690731994583544</v>
      </c>
      <c r="P24" s="39">
        <f>'Tab 20 '!G12</f>
        <v>40.516251122907782</v>
      </c>
    </row>
    <row r="25" spans="1:16" x14ac:dyDescent="0.25">
      <c r="A25" s="36"/>
      <c r="B25" s="44"/>
      <c r="C25" s="44"/>
      <c r="D25" s="82"/>
      <c r="E25" s="44"/>
      <c r="F25" s="895" t="s">
        <v>541</v>
      </c>
      <c r="G25" s="895"/>
      <c r="J25" s="57"/>
      <c r="K25" s="58"/>
      <c r="L25" s="58"/>
      <c r="M25" s="58"/>
      <c r="N25" s="58"/>
      <c r="O25" s="895" t="s">
        <v>541</v>
      </c>
      <c r="P25" s="895"/>
    </row>
    <row r="26" spans="1:16" x14ac:dyDescent="0.25">
      <c r="A26" s="36"/>
      <c r="B26" s="44"/>
      <c r="C26" s="44"/>
      <c r="D26" s="82"/>
      <c r="E26" s="44"/>
      <c r="F26" s="44"/>
      <c r="G26" s="44"/>
      <c r="J26" s="57"/>
      <c r="K26" s="58"/>
      <c r="L26" s="58"/>
      <c r="M26" s="58"/>
      <c r="N26" s="58"/>
      <c r="O26" s="58"/>
      <c r="P26" s="58"/>
    </row>
    <row r="27" spans="1:16" ht="14.25" thickBot="1" x14ac:dyDescent="0.3">
      <c r="A27" s="649" t="s">
        <v>1033</v>
      </c>
      <c r="B27" s="52"/>
      <c r="C27" s="52"/>
      <c r="D27" s="52"/>
      <c r="E27" s="52"/>
      <c r="F27" s="44"/>
      <c r="G27" s="44"/>
      <c r="J27" s="649" t="s">
        <v>1034</v>
      </c>
      <c r="K27" s="52"/>
      <c r="L27" s="52"/>
      <c r="M27" s="52"/>
      <c r="N27" s="52"/>
      <c r="O27" s="52"/>
      <c r="P27" s="52"/>
    </row>
    <row r="28" spans="1:16" x14ac:dyDescent="0.25">
      <c r="A28" s="36"/>
      <c r="B28" s="44"/>
      <c r="C28" s="44"/>
      <c r="D28" s="82"/>
      <c r="E28" s="44"/>
      <c r="F28" s="44"/>
      <c r="G28" s="44"/>
      <c r="J28" s="57"/>
      <c r="K28" s="58"/>
      <c r="L28" s="58"/>
      <c r="M28" s="58"/>
      <c r="N28" s="58"/>
      <c r="O28" s="58"/>
      <c r="P28" s="58"/>
    </row>
    <row r="29" spans="1:16" x14ac:dyDescent="0.25">
      <c r="A29" s="36"/>
      <c r="B29" s="44"/>
      <c r="C29" s="44"/>
      <c r="D29" s="82"/>
      <c r="E29" s="44"/>
      <c r="F29" s="44"/>
      <c r="G29" s="44"/>
      <c r="J29" s="57"/>
      <c r="K29" s="58"/>
      <c r="L29" s="58"/>
      <c r="M29" s="58"/>
      <c r="N29" s="58"/>
      <c r="O29" s="58"/>
      <c r="P29" s="58"/>
    </row>
    <row r="30" spans="1:16" x14ac:dyDescent="0.25">
      <c r="A30" s="36"/>
      <c r="B30" s="44"/>
      <c r="C30" s="44"/>
      <c r="D30" s="82"/>
      <c r="E30" s="44"/>
      <c r="F30" s="44"/>
      <c r="G30" s="44"/>
      <c r="J30" s="57"/>
      <c r="K30" s="58"/>
      <c r="L30" s="58"/>
      <c r="M30" s="58"/>
      <c r="N30" s="58"/>
      <c r="O30" s="58"/>
      <c r="P30" s="58"/>
    </row>
    <row r="31" spans="1:16" x14ac:dyDescent="0.25">
      <c r="A31" s="36"/>
      <c r="B31" s="44"/>
      <c r="C31" s="44"/>
      <c r="D31" s="82"/>
      <c r="E31" s="44"/>
      <c r="F31" s="44"/>
      <c r="G31" s="44"/>
      <c r="J31" s="57"/>
      <c r="K31" s="58"/>
      <c r="L31" s="58"/>
      <c r="M31" s="58"/>
      <c r="N31" s="58"/>
      <c r="O31" s="58"/>
      <c r="P31" s="58"/>
    </row>
    <row r="32" spans="1:16" x14ac:dyDescent="0.25">
      <c r="A32" s="36"/>
      <c r="B32" s="44"/>
      <c r="C32" s="44"/>
      <c r="D32" s="82"/>
      <c r="E32" s="44"/>
      <c r="F32" s="44"/>
      <c r="G32" s="44"/>
      <c r="J32" s="57"/>
      <c r="K32" s="58"/>
      <c r="L32" s="58"/>
      <c r="M32" s="58"/>
      <c r="N32" s="58"/>
      <c r="O32" s="58"/>
      <c r="P32" s="58"/>
    </row>
    <row r="33" spans="1:16" x14ac:dyDescent="0.25">
      <c r="A33" s="36"/>
      <c r="B33" s="44"/>
      <c r="C33" s="44"/>
      <c r="D33" s="82"/>
      <c r="E33" s="44"/>
      <c r="F33" s="44"/>
      <c r="G33" s="44"/>
      <c r="J33" s="57"/>
      <c r="K33" s="58"/>
      <c r="L33" s="58"/>
      <c r="M33" s="58"/>
      <c r="N33" s="58"/>
      <c r="O33" s="58"/>
      <c r="P33" s="58"/>
    </row>
    <row r="34" spans="1:16" x14ac:dyDescent="0.25">
      <c r="A34" s="36"/>
      <c r="B34" s="44"/>
      <c r="C34" s="44"/>
      <c r="D34" s="82"/>
      <c r="E34" s="44"/>
      <c r="F34" s="44"/>
      <c r="G34" s="44"/>
      <c r="J34" s="57"/>
      <c r="K34" s="58"/>
      <c r="L34" s="58"/>
      <c r="M34" s="58"/>
      <c r="N34" s="58"/>
      <c r="O34" s="58"/>
      <c r="P34" s="58"/>
    </row>
    <row r="35" spans="1:16" x14ac:dyDescent="0.25">
      <c r="A35" s="36"/>
      <c r="B35" s="44"/>
      <c r="C35" s="44"/>
      <c r="D35" s="82"/>
      <c r="E35" s="44"/>
      <c r="F35" s="44"/>
      <c r="G35" s="44"/>
      <c r="J35" s="57"/>
      <c r="K35" s="58"/>
      <c r="L35" s="58"/>
      <c r="M35" s="58"/>
      <c r="N35" s="58"/>
      <c r="O35" s="58"/>
      <c r="P35" s="58"/>
    </row>
    <row r="36" spans="1:16" x14ac:dyDescent="0.25">
      <c r="A36" s="36"/>
      <c r="B36" s="44"/>
      <c r="C36" s="44"/>
      <c r="D36" s="82"/>
      <c r="E36" s="44"/>
      <c r="F36" s="44"/>
      <c r="G36" s="44"/>
      <c r="J36" s="57"/>
      <c r="K36" s="58"/>
      <c r="L36" s="58"/>
      <c r="M36" s="58"/>
      <c r="N36" s="58"/>
      <c r="O36" s="58"/>
      <c r="P36" s="58"/>
    </row>
    <row r="37" spans="1:16" x14ac:dyDescent="0.25">
      <c r="A37" s="36"/>
      <c r="B37" s="44"/>
      <c r="C37" s="44"/>
      <c r="D37" s="82"/>
      <c r="E37" s="44"/>
      <c r="F37" s="44"/>
      <c r="G37" s="44"/>
      <c r="J37" s="57"/>
      <c r="K37" s="58"/>
      <c r="L37" s="58"/>
      <c r="M37" s="58"/>
      <c r="N37" s="58"/>
      <c r="O37" s="58"/>
      <c r="P37" s="58"/>
    </row>
    <row r="38" spans="1:16" x14ac:dyDescent="0.25">
      <c r="A38" s="36"/>
      <c r="B38" s="44"/>
      <c r="C38" s="44"/>
      <c r="D38" s="82"/>
      <c r="E38" s="44"/>
      <c r="F38" s="44"/>
      <c r="G38" s="44"/>
      <c r="J38" s="57"/>
      <c r="K38" s="58"/>
      <c r="L38" s="58"/>
      <c r="M38" s="58"/>
      <c r="N38" s="58"/>
      <c r="O38" s="58"/>
      <c r="P38" s="58"/>
    </row>
    <row r="39" spans="1:16" x14ac:dyDescent="0.25">
      <c r="A39" s="36"/>
      <c r="B39" s="44"/>
      <c r="C39" s="44"/>
      <c r="D39" s="82"/>
      <c r="E39" s="44"/>
      <c r="F39" s="44"/>
      <c r="G39" s="44"/>
      <c r="J39" s="57"/>
      <c r="K39" s="58"/>
      <c r="L39" s="58"/>
      <c r="M39" s="58"/>
      <c r="N39" s="58"/>
      <c r="O39" s="58"/>
      <c r="P39" s="58"/>
    </row>
    <row r="40" spans="1:16" x14ac:dyDescent="0.25">
      <c r="A40" s="36"/>
      <c r="B40" s="44"/>
      <c r="C40" s="44"/>
      <c r="D40" s="44"/>
      <c r="E40" s="44"/>
      <c r="F40" s="44"/>
      <c r="G40" s="44"/>
      <c r="J40" s="57"/>
      <c r="K40" s="58"/>
      <c r="L40" s="58"/>
      <c r="M40" s="58"/>
      <c r="N40" s="58"/>
      <c r="O40" s="58"/>
      <c r="P40" s="58"/>
    </row>
    <row r="41" spans="1:16" x14ac:dyDescent="0.25">
      <c r="A41" s="36"/>
      <c r="B41" s="44"/>
      <c r="C41" s="44"/>
      <c r="D41" s="44"/>
      <c r="E41" s="44"/>
      <c r="F41" s="44"/>
      <c r="G41" s="44"/>
      <c r="J41" s="57"/>
      <c r="K41" s="58"/>
      <c r="L41" s="58"/>
      <c r="M41" s="58"/>
      <c r="N41" s="58"/>
      <c r="O41" s="58"/>
      <c r="P41" s="58"/>
    </row>
    <row r="42" spans="1:16" x14ac:dyDescent="0.25">
      <c r="A42" s="36"/>
      <c r="B42" s="44"/>
      <c r="C42" s="44"/>
      <c r="D42" s="44"/>
      <c r="E42" s="44"/>
      <c r="F42" s="44"/>
      <c r="G42" s="44"/>
      <c r="J42" s="57"/>
      <c r="K42" s="58"/>
      <c r="L42" s="58"/>
      <c r="M42" s="58"/>
      <c r="N42" s="58"/>
      <c r="O42" s="58"/>
      <c r="P42" s="58"/>
    </row>
    <row r="43" spans="1:16" ht="14.25" thickBot="1" x14ac:dyDescent="0.3">
      <c r="A43" s="896" t="s">
        <v>443</v>
      </c>
      <c r="B43" s="896"/>
      <c r="C43" s="896"/>
      <c r="D43" s="896"/>
      <c r="E43" s="896"/>
      <c r="F43" s="896"/>
      <c r="G43" s="896"/>
      <c r="J43" s="897" t="s">
        <v>602</v>
      </c>
      <c r="K43" s="897"/>
      <c r="L43" s="897"/>
      <c r="M43" s="897"/>
      <c r="N43" s="897"/>
      <c r="O43" s="897"/>
      <c r="P43" s="897"/>
    </row>
    <row r="44" spans="1:16" ht="15.75" customHeight="1" thickBot="1" x14ac:dyDescent="0.3">
      <c r="A44" s="182"/>
      <c r="B44" s="146">
        <v>2015</v>
      </c>
      <c r="C44" s="146">
        <v>2016</v>
      </c>
      <c r="D44" s="146">
        <v>2017</v>
      </c>
      <c r="E44" s="146">
        <v>2018</v>
      </c>
      <c r="F44" s="146">
        <v>2019</v>
      </c>
      <c r="G44" s="146">
        <v>2020</v>
      </c>
      <c r="J44" s="18"/>
      <c r="K44" s="12">
        <f>'Tab 20 '!B5</f>
        <v>2015</v>
      </c>
      <c r="L44" s="12">
        <f>'Tab 20 '!C5</f>
        <v>2016</v>
      </c>
      <c r="M44" s="12">
        <f>'Tab 20 '!D5</f>
        <v>2017</v>
      </c>
      <c r="N44" s="12">
        <f>'Tab 20 '!E5</f>
        <v>2018</v>
      </c>
      <c r="O44" s="12">
        <f>'Tab 20 '!F5</f>
        <v>2019</v>
      </c>
      <c r="P44" s="12">
        <f>'Tab 20 '!G5</f>
        <v>2020</v>
      </c>
    </row>
    <row r="45" spans="1:16" x14ac:dyDescent="0.25">
      <c r="A45" s="1" t="s">
        <v>444</v>
      </c>
      <c r="B45" s="45">
        <f>'Tab 18 '!B5</f>
        <v>-2.7445806862164637</v>
      </c>
      <c r="C45" s="45">
        <f>'Tab 18 '!C5</f>
        <v>-1.6817818285144437</v>
      </c>
      <c r="D45" s="45">
        <f>'Tab 18 '!D5</f>
        <v>-1.2399995686941512</v>
      </c>
      <c r="E45" s="45">
        <f>'Tab 18 '!E5</f>
        <v>-0.50000000000000522</v>
      </c>
      <c r="F45" s="45">
        <f>'Tab 18 '!F5</f>
        <v>0</v>
      </c>
      <c r="G45" s="45">
        <f>'Tab 18 '!G5</f>
        <v>0</v>
      </c>
      <c r="J45" s="16" t="s">
        <v>445</v>
      </c>
      <c r="K45" s="38">
        <f>'Tab 20 '!B6</f>
        <v>52.480982290941959</v>
      </c>
      <c r="L45" s="38">
        <f>'Tab 20 '!C6</f>
        <v>51.944515578719063</v>
      </c>
      <c r="M45" s="38">
        <f>'Tab 20 '!D6</f>
        <v>51.753576813312797</v>
      </c>
      <c r="N45" s="38">
        <f>'Tab 20 '!E6</f>
        <v>49.936921613254334</v>
      </c>
      <c r="O45" s="38">
        <f>'Tab 20 '!F6</f>
        <v>47.993310076994348</v>
      </c>
      <c r="P45" s="38">
        <f>'Tab 20 '!G6</f>
        <v>45.978313115681118</v>
      </c>
    </row>
    <row r="46" spans="1:16" ht="14.25" thickBot="1" x14ac:dyDescent="0.3">
      <c r="A46" s="3" t="s">
        <v>446</v>
      </c>
      <c r="B46" s="68">
        <f>'Tab 18 '!B8</f>
        <v>-2.3215508695872575</v>
      </c>
      <c r="C46" s="68">
        <f>'Tab 18 '!C8</f>
        <v>-1.3881204053720908</v>
      </c>
      <c r="D46" s="68">
        <f>'Tab 18 '!D8</f>
        <v>-1.0124596682186437</v>
      </c>
      <c r="E46" s="68">
        <f>'Tab 18 '!E8</f>
        <v>-0.40487011073020646</v>
      </c>
      <c r="F46" s="68">
        <f>'Tab 18 '!F8</f>
        <v>-0.24007295457461639</v>
      </c>
      <c r="G46" s="68">
        <f>'Tab 18 '!G8</f>
        <v>-0.36551718565750513</v>
      </c>
      <c r="J46" s="16" t="s">
        <v>447</v>
      </c>
      <c r="K46" s="38">
        <f>K45-K47</f>
        <v>49.253149452010376</v>
      </c>
      <c r="L46" s="38">
        <f t="shared" ref="L46:P46" si="2">L45-L47</f>
        <v>48.80728421301373</v>
      </c>
      <c r="M46" s="38">
        <f t="shared" si="2"/>
        <v>48.750704605901639</v>
      </c>
      <c r="N46" s="38">
        <f t="shared" si="2"/>
        <v>47.09437939669445</v>
      </c>
      <c r="O46" s="38">
        <f t="shared" si="2"/>
        <v>45.321849152305461</v>
      </c>
      <c r="P46" s="38">
        <f t="shared" si="2"/>
        <v>43.456875600375923</v>
      </c>
    </row>
    <row r="47" spans="1:16" ht="14.25" thickBot="1" x14ac:dyDescent="0.3">
      <c r="A47" s="112" t="s">
        <v>448</v>
      </c>
      <c r="B47" s="68">
        <f t="shared" ref="B47" si="3">B23</f>
        <v>-0.11919044031814474</v>
      </c>
      <c r="C47" s="68">
        <f>C46-B46</f>
        <v>0.93343046421516673</v>
      </c>
      <c r="D47" s="68">
        <f t="shared" ref="D47:G47" si="4">D46-C46</f>
        <v>0.37566073715344706</v>
      </c>
      <c r="E47" s="68">
        <f t="shared" si="4"/>
        <v>0.60758955748843735</v>
      </c>
      <c r="F47" s="68">
        <f t="shared" si="4"/>
        <v>0.16479715615559007</v>
      </c>
      <c r="G47" s="68">
        <f t="shared" si="4"/>
        <v>-0.12544423108288874</v>
      </c>
      <c r="J47" s="16" t="s">
        <v>449</v>
      </c>
      <c r="K47" s="38">
        <f>'Tab 20 '!B14</f>
        <v>3.2278328389315822</v>
      </c>
      <c r="L47" s="38">
        <f>'Tab 20 '!C14</f>
        <v>3.1372313657053303</v>
      </c>
      <c r="M47" s="38">
        <f>'Tab 20 '!D14</f>
        <v>3.0028722074111593</v>
      </c>
      <c r="N47" s="38">
        <f>'Tab 20 '!E14</f>
        <v>2.8425422165598846</v>
      </c>
      <c r="O47" s="38">
        <f>'Tab 20 '!F14</f>
        <v>2.671460924688887</v>
      </c>
      <c r="P47" s="38">
        <f>'Tab 20 '!G14</f>
        <v>2.5214375153051916</v>
      </c>
    </row>
    <row r="48" spans="1:16" ht="14.25" thickBot="1" x14ac:dyDescent="0.3">
      <c r="A48" s="5"/>
      <c r="B48" s="37"/>
      <c r="C48" s="37"/>
      <c r="D48" s="81"/>
      <c r="E48" s="37"/>
      <c r="F48" s="37"/>
      <c r="G48" s="37"/>
      <c r="J48" s="46" t="s">
        <v>450</v>
      </c>
      <c r="K48" s="39">
        <f>'Tab 20 '!B12</f>
        <v>48.214345627220681</v>
      </c>
      <c r="L48" s="39">
        <f>'Tab 20 '!C12</f>
        <v>47.004140566509029</v>
      </c>
      <c r="M48" s="39">
        <f>'Tab 20 '!D12</f>
        <v>46.852281109816708</v>
      </c>
      <c r="N48" s="39">
        <f>'Tab 20 '!E12</f>
        <v>45.090520052349831</v>
      </c>
      <c r="O48" s="39">
        <f>'Tab 20 '!F12</f>
        <v>42.690731994583544</v>
      </c>
      <c r="P48" s="39">
        <f>'Tab 20 '!G12</f>
        <v>40.516251122907782</v>
      </c>
    </row>
    <row r="49" spans="6:16" x14ac:dyDescent="0.25">
      <c r="F49" s="895" t="s">
        <v>540</v>
      </c>
      <c r="G49" s="895"/>
      <c r="O49" s="895" t="s">
        <v>540</v>
      </c>
      <c r="P49" s="895"/>
    </row>
  </sheetData>
  <mergeCells count="10">
    <mergeCell ref="F49:G49"/>
    <mergeCell ref="O49:P49"/>
    <mergeCell ref="A19:D19"/>
    <mergeCell ref="E19:G19"/>
    <mergeCell ref="J19:P19"/>
    <mergeCell ref="F25:G25"/>
    <mergeCell ref="O25:P25"/>
    <mergeCell ref="A43:D43"/>
    <mergeCell ref="E43:G43"/>
    <mergeCell ref="J43:P43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Y93"/>
  <sheetViews>
    <sheetView showGridLines="0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2" x14ac:dyDescent="0.2"/>
  <cols>
    <col min="1" max="2" width="40.85546875" style="308" customWidth="1"/>
    <col min="3" max="3" width="19.7109375" style="308" customWidth="1"/>
    <col min="4" max="4" width="14.28515625" style="308" bestFit="1" customWidth="1"/>
    <col min="5" max="11" width="10.140625" style="308" bestFit="1" customWidth="1"/>
    <col min="12" max="12" width="9.5703125" style="308" bestFit="1" customWidth="1"/>
    <col min="13" max="13" width="8.28515625" style="308" bestFit="1" customWidth="1"/>
    <col min="14" max="15" width="8.42578125" style="308" bestFit="1" customWidth="1"/>
    <col min="16" max="16" width="9" style="308" bestFit="1" customWidth="1"/>
    <col min="17" max="17" width="10.42578125" style="308" customWidth="1"/>
    <col min="18" max="19" width="8.42578125" style="308" bestFit="1" customWidth="1"/>
    <col min="20" max="20" width="9" style="308" bestFit="1" customWidth="1"/>
    <col min="21" max="16384" width="9.140625" style="308"/>
  </cols>
  <sheetData>
    <row r="1" spans="1:25" s="812" customFormat="1" ht="15.75" customHeight="1" x14ac:dyDescent="0.25">
      <c r="A1" s="40"/>
      <c r="B1" s="40"/>
    </row>
    <row r="2" spans="1:25" ht="15.75" customHeight="1" x14ac:dyDescent="0.2"/>
    <row r="3" spans="1:25" ht="16.5" customHeight="1" x14ac:dyDescent="0.2">
      <c r="A3" s="813" t="s">
        <v>1718</v>
      </c>
      <c r="B3" s="813"/>
      <c r="C3" s="813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4"/>
      <c r="O3" s="814"/>
      <c r="P3" s="814"/>
      <c r="R3" s="946" t="s">
        <v>1624</v>
      </c>
      <c r="S3" s="947"/>
      <c r="T3" s="948"/>
    </row>
    <row r="4" spans="1:25" ht="16.5" customHeight="1" x14ac:dyDescent="0.2">
      <c r="A4" s="815"/>
      <c r="B4" s="815"/>
      <c r="C4" s="949" t="s">
        <v>1685</v>
      </c>
      <c r="D4" s="819">
        <v>2008</v>
      </c>
      <c r="E4" s="819">
        <v>2009</v>
      </c>
      <c r="F4" s="819">
        <v>2010</v>
      </c>
      <c r="G4" s="820">
        <v>2011</v>
      </c>
      <c r="H4" s="875">
        <v>2012</v>
      </c>
      <c r="I4" s="875">
        <v>2013</v>
      </c>
      <c r="J4" s="875">
        <v>2014</v>
      </c>
      <c r="K4" s="875">
        <v>2015</v>
      </c>
      <c r="L4" s="875">
        <v>2016</v>
      </c>
      <c r="M4" s="875">
        <v>2017</v>
      </c>
      <c r="N4" s="875">
        <v>2018</v>
      </c>
      <c r="O4" s="875">
        <v>2019</v>
      </c>
      <c r="P4" s="875">
        <v>2020</v>
      </c>
      <c r="R4" s="875">
        <v>2018</v>
      </c>
      <c r="S4" s="875">
        <v>2019</v>
      </c>
      <c r="T4" s="875">
        <v>2020</v>
      </c>
    </row>
    <row r="5" spans="1:25" ht="13.5" x14ac:dyDescent="0.2">
      <c r="A5" s="815"/>
      <c r="B5" s="815"/>
      <c r="C5" s="949"/>
      <c r="D5" s="816" t="s">
        <v>24</v>
      </c>
      <c r="E5" s="816" t="s">
        <v>24</v>
      </c>
      <c r="F5" s="816" t="s">
        <v>24</v>
      </c>
      <c r="G5" s="817" t="s">
        <v>24</v>
      </c>
      <c r="H5" s="817" t="s">
        <v>24</v>
      </c>
      <c r="I5" s="817" t="s">
        <v>24</v>
      </c>
      <c r="J5" s="817" t="s">
        <v>884</v>
      </c>
      <c r="K5" s="817" t="s">
        <v>884</v>
      </c>
      <c r="L5" s="817" t="s">
        <v>24</v>
      </c>
      <c r="M5" s="817" t="s">
        <v>55</v>
      </c>
      <c r="N5" s="817" t="s">
        <v>885</v>
      </c>
      <c r="O5" s="817" t="s">
        <v>885</v>
      </c>
      <c r="P5" s="817" t="s">
        <v>885</v>
      </c>
      <c r="R5" s="817" t="s">
        <v>1627</v>
      </c>
      <c r="S5" s="817" t="s">
        <v>1627</v>
      </c>
      <c r="T5" s="817" t="s">
        <v>1627</v>
      </c>
    </row>
    <row r="6" spans="1:25" ht="13.5" x14ac:dyDescent="0.2">
      <c r="A6" s="818"/>
      <c r="B6" s="818"/>
      <c r="C6" s="949"/>
      <c r="D6" s="819" t="s">
        <v>1625</v>
      </c>
      <c r="E6" s="819" t="s">
        <v>1625</v>
      </c>
      <c r="F6" s="819" t="s">
        <v>1625</v>
      </c>
      <c r="G6" s="819" t="s">
        <v>1625</v>
      </c>
      <c r="H6" s="819" t="s">
        <v>1625</v>
      </c>
      <c r="I6" s="819" t="s">
        <v>1625</v>
      </c>
      <c r="J6" s="819" t="s">
        <v>1625</v>
      </c>
      <c r="K6" s="819" t="s">
        <v>1625</v>
      </c>
      <c r="L6" s="819" t="s">
        <v>1625</v>
      </c>
      <c r="M6" s="876" t="s">
        <v>1719</v>
      </c>
      <c r="N6" s="820" t="s">
        <v>1626</v>
      </c>
      <c r="O6" s="820" t="s">
        <v>1626</v>
      </c>
      <c r="P6" s="820" t="s">
        <v>1626</v>
      </c>
      <c r="R6" s="820" t="s">
        <v>1627</v>
      </c>
      <c r="S6" s="820" t="s">
        <v>1627</v>
      </c>
      <c r="T6" s="820" t="s">
        <v>1627</v>
      </c>
    </row>
    <row r="7" spans="1:25" ht="16.5" customHeight="1" x14ac:dyDescent="0.2">
      <c r="A7" s="821" t="s">
        <v>843</v>
      </c>
      <c r="B7" s="821" t="s">
        <v>1628</v>
      </c>
      <c r="C7" s="949"/>
      <c r="D7" s="823">
        <f t="shared" ref="D7:P7" si="0">D9+D24+D30+D37</f>
        <v>23636.485000000001</v>
      </c>
      <c r="E7" s="823">
        <f t="shared" si="0"/>
        <v>23227.662</v>
      </c>
      <c r="F7" s="823">
        <f t="shared" si="0"/>
        <v>23422.342000000001</v>
      </c>
      <c r="G7" s="823">
        <f t="shared" si="0"/>
        <v>25807.131000000001</v>
      </c>
      <c r="H7" s="823">
        <f t="shared" si="0"/>
        <v>26380.595999999998</v>
      </c>
      <c r="I7" s="823">
        <f t="shared" si="0"/>
        <v>28719.138999999996</v>
      </c>
      <c r="J7" s="823">
        <f t="shared" si="0"/>
        <v>29854.500000000004</v>
      </c>
      <c r="K7" s="823">
        <f t="shared" si="0"/>
        <v>33690.828999999998</v>
      </c>
      <c r="L7" s="823">
        <f t="shared" si="0"/>
        <v>32344.724000000002</v>
      </c>
      <c r="M7" s="823">
        <f t="shared" si="0"/>
        <v>33566.579000000005</v>
      </c>
      <c r="N7" s="823">
        <f t="shared" si="0"/>
        <v>34581.031999999999</v>
      </c>
      <c r="O7" s="823">
        <f t="shared" si="0"/>
        <v>36677.884999999995</v>
      </c>
      <c r="P7" s="823">
        <f t="shared" si="0"/>
        <v>38233.160999999993</v>
      </c>
      <c r="R7" s="823">
        <f>R9+R24+R30+R37</f>
        <v>34604.559234999993</v>
      </c>
      <c r="S7" s="823">
        <f>S9+S24+S30+S37</f>
        <v>36713.990876330994</v>
      </c>
      <c r="T7" s="823">
        <f>T9+T24+T30+T37</f>
        <v>38371.213761841718</v>
      </c>
    </row>
    <row r="8" spans="1:25" ht="16.5" customHeight="1" x14ac:dyDescent="0.2">
      <c r="A8" s="824" t="s">
        <v>53</v>
      </c>
      <c r="B8" s="824" t="s">
        <v>1639</v>
      </c>
      <c r="C8" s="950"/>
      <c r="D8" s="826">
        <f t="shared" ref="D8:P8" si="1">D7/D90</f>
        <v>0.34510049407518584</v>
      </c>
      <c r="E8" s="826">
        <f t="shared" si="1"/>
        <v>0.36280127016654928</v>
      </c>
      <c r="F8" s="826">
        <f t="shared" si="1"/>
        <v>0.34660073722980939</v>
      </c>
      <c r="G8" s="826">
        <f t="shared" si="1"/>
        <v>0.36539932207421505</v>
      </c>
      <c r="H8" s="826">
        <f t="shared" si="1"/>
        <v>0.36285180218283847</v>
      </c>
      <c r="I8" s="826">
        <f t="shared" si="1"/>
        <v>0.38720760651700176</v>
      </c>
      <c r="J8" s="826">
        <f t="shared" si="1"/>
        <v>0.39309981930799348</v>
      </c>
      <c r="K8" s="826">
        <f t="shared" si="1"/>
        <v>0.42817015533514086</v>
      </c>
      <c r="L8" s="826">
        <f t="shared" si="1"/>
        <v>0.39952472148399315</v>
      </c>
      <c r="M8" s="826">
        <f t="shared" si="1"/>
        <v>0.39686024243550094</v>
      </c>
      <c r="N8" s="827">
        <f t="shared" si="1"/>
        <v>0.3870245660373135</v>
      </c>
      <c r="O8" s="827">
        <f t="shared" si="1"/>
        <v>0.38578627350296218</v>
      </c>
      <c r="P8" s="827">
        <f t="shared" si="1"/>
        <v>0.37956143024434746</v>
      </c>
      <c r="R8" s="827">
        <f>R7/R90</f>
        <v>0.38728787853521496</v>
      </c>
      <c r="S8" s="827">
        <f>S7/S90</f>
        <v>0.38616604326016857</v>
      </c>
      <c r="T8" s="827">
        <f>T7/T90</f>
        <v>0.38093195526407653</v>
      </c>
    </row>
    <row r="9" spans="1:25" s="310" customFormat="1" ht="16.5" customHeight="1" x14ac:dyDescent="0.2">
      <c r="A9" s="828" t="s">
        <v>844</v>
      </c>
      <c r="B9" s="828" t="s">
        <v>848</v>
      </c>
      <c r="C9" s="829" t="s">
        <v>886</v>
      </c>
      <c r="D9" s="847">
        <f>D10+D15+D23</f>
        <v>11680.142000000002</v>
      </c>
      <c r="E9" s="847">
        <f t="shared" ref="E9:P9" si="2">E10+E15+E23</f>
        <v>10368.727999999999</v>
      </c>
      <c r="F9" s="847">
        <f t="shared" si="2"/>
        <v>10591.187</v>
      </c>
      <c r="G9" s="847">
        <f t="shared" si="2"/>
        <v>11431.008</v>
      </c>
      <c r="H9" s="847">
        <f t="shared" si="2"/>
        <v>11391.065000000001</v>
      </c>
      <c r="I9" s="847">
        <f t="shared" si="2"/>
        <v>12346.803999999998</v>
      </c>
      <c r="J9" s="847">
        <f t="shared" si="2"/>
        <v>13251.973000000002</v>
      </c>
      <c r="K9" s="847">
        <f t="shared" si="2"/>
        <v>14301.679</v>
      </c>
      <c r="L9" s="847">
        <f t="shared" si="2"/>
        <v>14822.177000000001</v>
      </c>
      <c r="M9" s="847">
        <f t="shared" si="2"/>
        <v>15586.1</v>
      </c>
      <c r="N9" s="847">
        <f t="shared" si="2"/>
        <v>16317.708999999999</v>
      </c>
      <c r="O9" s="847">
        <f t="shared" si="2"/>
        <v>17119.494999999999</v>
      </c>
      <c r="P9" s="847">
        <f t="shared" si="2"/>
        <v>17969.228999999999</v>
      </c>
      <c r="Q9" s="309"/>
      <c r="R9" s="847">
        <f t="shared" ref="R9:T9" si="3">R10+R15+R23</f>
        <v>16285.650999999998</v>
      </c>
      <c r="S9" s="847">
        <f t="shared" si="3"/>
        <v>17081.784</v>
      </c>
      <c r="T9" s="847">
        <f t="shared" si="3"/>
        <v>17931.518</v>
      </c>
      <c r="U9" s="309"/>
      <c r="V9" s="309"/>
      <c r="W9" s="309"/>
      <c r="X9" s="309"/>
      <c r="Y9" s="309"/>
    </row>
    <row r="10" spans="1:25" s="311" customFormat="1" ht="16.5" customHeight="1" x14ac:dyDescent="0.2">
      <c r="A10" s="870" t="s">
        <v>887</v>
      </c>
      <c r="B10" s="870" t="s">
        <v>1686</v>
      </c>
      <c r="C10" s="830" t="s">
        <v>888</v>
      </c>
      <c r="D10" s="848">
        <v>7078.8890000000001</v>
      </c>
      <c r="E10" s="848">
        <v>6630.0069999999996</v>
      </c>
      <c r="F10" s="848">
        <v>6779.116</v>
      </c>
      <c r="G10" s="848">
        <v>7377.5659999999998</v>
      </c>
      <c r="H10" s="848">
        <v>7163.223</v>
      </c>
      <c r="I10" s="848">
        <v>7632.2809999999999</v>
      </c>
      <c r="J10" s="848">
        <v>8045.2539999999999</v>
      </c>
      <c r="K10" s="848">
        <v>8505.7839999999997</v>
      </c>
      <c r="L10" s="848">
        <v>8615.9480000000003</v>
      </c>
      <c r="M10" s="848">
        <v>9202.8700000000008</v>
      </c>
      <c r="N10" s="849">
        <v>9548.5630000000001</v>
      </c>
      <c r="O10" s="849">
        <v>9952.15</v>
      </c>
      <c r="P10" s="849">
        <v>10345.273999999999</v>
      </c>
      <c r="Q10" s="309"/>
      <c r="R10" s="849">
        <v>9516.5049999999992</v>
      </c>
      <c r="S10" s="849">
        <v>9914.4390000000003</v>
      </c>
      <c r="T10" s="849">
        <v>10307.563</v>
      </c>
      <c r="U10" s="309"/>
      <c r="V10" s="309"/>
      <c r="W10" s="309"/>
      <c r="X10" s="309"/>
      <c r="Y10" s="309"/>
    </row>
    <row r="11" spans="1:25" s="311" customFormat="1" ht="16.5" customHeight="1" x14ac:dyDescent="0.2">
      <c r="A11" s="872" t="s">
        <v>889</v>
      </c>
      <c r="B11" s="872" t="s">
        <v>1687</v>
      </c>
      <c r="C11" s="831" t="s">
        <v>890</v>
      </c>
      <c r="D11" s="848">
        <v>4621.424</v>
      </c>
      <c r="E11" s="848">
        <v>4221.2879999999996</v>
      </c>
      <c r="F11" s="848">
        <v>4182.1009999999997</v>
      </c>
      <c r="G11" s="848">
        <v>4710.9139999999998</v>
      </c>
      <c r="H11" s="848">
        <v>4327.7020000000002</v>
      </c>
      <c r="I11" s="848">
        <v>4696.12</v>
      </c>
      <c r="J11" s="848">
        <v>5021.1310000000003</v>
      </c>
      <c r="K11" s="848">
        <v>5420.1729999999998</v>
      </c>
      <c r="L11" s="848">
        <v>5415.2070000000003</v>
      </c>
      <c r="M11" s="848">
        <v>5834.9569999999994</v>
      </c>
      <c r="N11" s="849">
        <v>6044.018</v>
      </c>
      <c r="O11" s="849">
        <v>6318.0139999999992</v>
      </c>
      <c r="P11" s="849">
        <v>6613.7699999999995</v>
      </c>
      <c r="Q11" s="309"/>
      <c r="R11" s="849">
        <v>6044.018</v>
      </c>
      <c r="S11" s="849">
        <v>6318.0139999999992</v>
      </c>
      <c r="T11" s="849">
        <v>6613.7699999999995</v>
      </c>
      <c r="U11" s="309"/>
      <c r="V11" s="309"/>
      <c r="W11" s="309"/>
      <c r="X11" s="309"/>
      <c r="Y11" s="309"/>
    </row>
    <row r="12" spans="1:25" s="311" customFormat="1" ht="16.5" customHeight="1" x14ac:dyDescent="0.2">
      <c r="A12" s="873" t="s">
        <v>891</v>
      </c>
      <c r="B12" s="873" t="s">
        <v>1688</v>
      </c>
      <c r="C12" s="831" t="s">
        <v>892</v>
      </c>
      <c r="D12" s="848">
        <f>0+1809.268</f>
        <v>1809.268</v>
      </c>
      <c r="E12" s="848">
        <f>0+1761.719</f>
        <v>1761.7190000000001</v>
      </c>
      <c r="F12" s="848">
        <f>0+1930.806</f>
        <v>1930.806</v>
      </c>
      <c r="G12" s="848">
        <f>0+1999.131</f>
        <v>1999.1310000000001</v>
      </c>
      <c r="H12" s="848">
        <f>0+1973.341</f>
        <v>1973.3409999999999</v>
      </c>
      <c r="I12" s="848">
        <f>0+1984.783</f>
        <v>1984.7829999999999</v>
      </c>
      <c r="J12" s="848">
        <f>0+2014.994</f>
        <v>2014.9939999999999</v>
      </c>
      <c r="K12" s="848">
        <f>0+2108.224</f>
        <v>2108.2240000000002</v>
      </c>
      <c r="L12" s="848">
        <v>2173.8851055600003</v>
      </c>
      <c r="M12" s="848">
        <v>2275.163</v>
      </c>
      <c r="N12" s="848">
        <v>2338.1260000000002</v>
      </c>
      <c r="O12" s="848">
        <v>2435.5079999999998</v>
      </c>
      <c r="P12" s="848">
        <v>2500.2759999999998</v>
      </c>
      <c r="Q12" s="309"/>
      <c r="R12" s="848">
        <v>2338.1260000000002</v>
      </c>
      <c r="S12" s="848">
        <v>2435.5079999999998</v>
      </c>
      <c r="T12" s="848">
        <v>2500.2759999999998</v>
      </c>
      <c r="U12" s="309"/>
      <c r="V12" s="309"/>
      <c r="W12" s="309"/>
      <c r="X12" s="309"/>
      <c r="Y12" s="309"/>
    </row>
    <row r="13" spans="1:25" s="311" customFormat="1" ht="16.5" customHeight="1" x14ac:dyDescent="0.2">
      <c r="A13" s="872" t="s">
        <v>893</v>
      </c>
      <c r="B13" s="872" t="s">
        <v>1689</v>
      </c>
      <c r="C13" s="831" t="s">
        <v>894</v>
      </c>
      <c r="D13" s="848">
        <v>3.3000000000000002E-2</v>
      </c>
      <c r="E13" s="848">
        <v>2.1999999999999999E-2</v>
      </c>
      <c r="F13" s="848">
        <v>1.9E-2</v>
      </c>
      <c r="G13" s="848">
        <v>5.5E-2</v>
      </c>
      <c r="H13" s="848">
        <v>8.3000000000000004E-2</v>
      </c>
      <c r="I13" s="848">
        <v>5.8000000000000003E-2</v>
      </c>
      <c r="J13" s="848">
        <v>-7.0000000000000001E-3</v>
      </c>
      <c r="K13" s="848">
        <v>0.02</v>
      </c>
      <c r="L13" s="848">
        <v>0</v>
      </c>
      <c r="M13" s="848">
        <v>0</v>
      </c>
      <c r="N13" s="849">
        <v>0</v>
      </c>
      <c r="O13" s="849">
        <v>0</v>
      </c>
      <c r="P13" s="849">
        <v>0</v>
      </c>
      <c r="Q13" s="309"/>
      <c r="R13" s="849">
        <v>0</v>
      </c>
      <c r="S13" s="849">
        <v>0</v>
      </c>
      <c r="T13" s="849">
        <v>0</v>
      </c>
      <c r="U13" s="309"/>
      <c r="V13" s="309"/>
      <c r="W13" s="309"/>
      <c r="X13" s="309"/>
      <c r="Y13" s="309"/>
    </row>
    <row r="14" spans="1:25" s="311" customFormat="1" ht="16.5" customHeight="1" x14ac:dyDescent="0.2">
      <c r="A14" s="873" t="s">
        <v>895</v>
      </c>
      <c r="B14" s="873" t="s">
        <v>1690</v>
      </c>
      <c r="C14" s="831" t="s">
        <v>896</v>
      </c>
      <c r="D14" s="848">
        <v>171.512</v>
      </c>
      <c r="E14" s="848">
        <v>182.28200000000001</v>
      </c>
      <c r="F14" s="848">
        <v>188.87</v>
      </c>
      <c r="G14" s="848">
        <v>195.32599999999999</v>
      </c>
      <c r="H14" s="848">
        <v>215.346</v>
      </c>
      <c r="I14" s="848">
        <v>222.65199999999999</v>
      </c>
      <c r="J14" s="848">
        <v>224.87299999999999</v>
      </c>
      <c r="K14" s="848">
        <v>228.214</v>
      </c>
      <c r="L14" s="848">
        <v>235.77350517333332</v>
      </c>
      <c r="M14" s="848">
        <v>251.89500000000001</v>
      </c>
      <c r="N14" s="849">
        <v>257.69100000000003</v>
      </c>
      <c r="O14" s="849">
        <v>263.46499999999997</v>
      </c>
      <c r="P14" s="849">
        <v>268.35500000000002</v>
      </c>
      <c r="Q14" s="309"/>
      <c r="R14" s="849">
        <v>257.69100000000003</v>
      </c>
      <c r="S14" s="849">
        <v>263.46499999999997</v>
      </c>
      <c r="T14" s="849">
        <v>268.35500000000002</v>
      </c>
      <c r="U14" s="309"/>
      <c r="V14" s="309"/>
      <c r="W14" s="309"/>
      <c r="X14" s="309"/>
      <c r="Y14" s="309"/>
    </row>
    <row r="15" spans="1:25" ht="16.5" customHeight="1" x14ac:dyDescent="0.2">
      <c r="A15" s="874" t="s">
        <v>897</v>
      </c>
      <c r="B15" s="874" t="s">
        <v>1691</v>
      </c>
      <c r="C15" s="830" t="s">
        <v>898</v>
      </c>
      <c r="D15" s="848">
        <v>4601.1530000000002</v>
      </c>
      <c r="E15" s="850">
        <v>3738.6759999999999</v>
      </c>
      <c r="F15" s="850">
        <v>3812.0509999999999</v>
      </c>
      <c r="G15" s="850">
        <v>4053.4290000000001</v>
      </c>
      <c r="H15" s="850">
        <v>4227.83</v>
      </c>
      <c r="I15" s="848">
        <v>4714.5159999999996</v>
      </c>
      <c r="J15" s="848">
        <v>5206.7150000000001</v>
      </c>
      <c r="K15" s="848">
        <v>5795.9009999999998</v>
      </c>
      <c r="L15" s="848">
        <v>6206.2250000000004</v>
      </c>
      <c r="M15" s="848">
        <v>6383.23</v>
      </c>
      <c r="N15" s="849">
        <v>6769.1459999999997</v>
      </c>
      <c r="O15" s="849">
        <v>7167.3450000000003</v>
      </c>
      <c r="P15" s="849">
        <v>7623.9549999999999</v>
      </c>
      <c r="Q15" s="309"/>
      <c r="R15" s="849">
        <v>6769.1459999999997</v>
      </c>
      <c r="S15" s="849">
        <v>7167.3450000000003</v>
      </c>
      <c r="T15" s="849">
        <v>7623.9549999999999</v>
      </c>
      <c r="U15" s="309"/>
      <c r="V15" s="309"/>
      <c r="W15" s="309"/>
      <c r="X15" s="309"/>
      <c r="Y15" s="309"/>
    </row>
    <row r="16" spans="1:25" ht="16.5" customHeight="1" x14ac:dyDescent="0.2">
      <c r="A16" s="872" t="s">
        <v>899</v>
      </c>
      <c r="B16" s="872" t="s">
        <v>1692</v>
      </c>
      <c r="C16" s="831" t="s">
        <v>900</v>
      </c>
      <c r="D16" s="848">
        <v>2095.1779999999999</v>
      </c>
      <c r="E16" s="850">
        <v>1793.693</v>
      </c>
      <c r="F16" s="850">
        <v>1789.5650000000001</v>
      </c>
      <c r="G16" s="850">
        <v>1999.8820000000001</v>
      </c>
      <c r="H16" s="850">
        <v>2122.7759999999998</v>
      </c>
      <c r="I16" s="848">
        <v>2175.0250000000001</v>
      </c>
      <c r="J16" s="848">
        <v>2275.1170000000002</v>
      </c>
      <c r="K16" s="848">
        <v>2464.4140000000002</v>
      </c>
      <c r="L16" s="848">
        <f t="shared" ref="L16:P16" si="4">L17+L18</f>
        <v>2694.1628224900001</v>
      </c>
      <c r="M16" s="848">
        <f t="shared" si="4"/>
        <v>2845.0129999999995</v>
      </c>
      <c r="N16" s="849">
        <f t="shared" si="4"/>
        <v>3036.7550000000001</v>
      </c>
      <c r="O16" s="849">
        <f t="shared" si="4"/>
        <v>3242.692</v>
      </c>
      <c r="P16" s="849">
        <f t="shared" si="4"/>
        <v>3441.9789999999998</v>
      </c>
      <c r="Q16" s="309"/>
      <c r="R16" s="849">
        <f t="shared" ref="R16:T16" si="5">R17+R18</f>
        <v>3036.7550000000001</v>
      </c>
      <c r="S16" s="849">
        <f t="shared" si="5"/>
        <v>3242.692</v>
      </c>
      <c r="T16" s="849">
        <f t="shared" si="5"/>
        <v>3441.9789999999998</v>
      </c>
      <c r="U16" s="309"/>
      <c r="V16" s="309"/>
      <c r="W16" s="309"/>
      <c r="X16" s="309"/>
      <c r="Y16" s="309"/>
    </row>
    <row r="17" spans="1:25" ht="16.5" customHeight="1" x14ac:dyDescent="0.2">
      <c r="A17" s="862" t="s">
        <v>901</v>
      </c>
      <c r="B17" s="862" t="s">
        <v>1693</v>
      </c>
      <c r="C17" s="831"/>
      <c r="D17" s="849">
        <f>0+1639.776</f>
        <v>1639.7760000000001</v>
      </c>
      <c r="E17" s="851">
        <v>1468.115</v>
      </c>
      <c r="F17" s="851">
        <v>1431.1880000000001</v>
      </c>
      <c r="G17" s="851">
        <v>1638.58</v>
      </c>
      <c r="H17" s="851">
        <v>1763.433</v>
      </c>
      <c r="I17" s="849">
        <v>1788.0440000000001</v>
      </c>
      <c r="J17" s="849">
        <v>1903.7840000000001</v>
      </c>
      <c r="K17" s="849">
        <f>2082.0493+0.007</f>
        <v>2082.0563000000002</v>
      </c>
      <c r="L17" s="849">
        <v>2541.9248224900002</v>
      </c>
      <c r="M17" s="849">
        <v>2701.9759999999997</v>
      </c>
      <c r="N17" s="849">
        <v>2887.8009999999999</v>
      </c>
      <c r="O17" s="849">
        <v>3086.5659999999998</v>
      </c>
      <c r="P17" s="849">
        <v>3277.7089999999998</v>
      </c>
      <c r="Q17" s="309"/>
      <c r="R17" s="849">
        <v>2887.8009999999999</v>
      </c>
      <c r="S17" s="849">
        <v>3086.5659999999998</v>
      </c>
      <c r="T17" s="849">
        <v>3277.7089999999998</v>
      </c>
      <c r="U17" s="309"/>
      <c r="V17" s="309"/>
      <c r="W17" s="309"/>
      <c r="X17" s="309"/>
      <c r="Y17" s="309"/>
    </row>
    <row r="18" spans="1:25" ht="16.5" customHeight="1" x14ac:dyDescent="0.2">
      <c r="A18" s="862" t="s">
        <v>902</v>
      </c>
      <c r="B18" s="862" t="s">
        <v>1694</v>
      </c>
      <c r="C18" s="831"/>
      <c r="D18" s="849">
        <f>0+202.365</f>
        <v>202.36500000000001</v>
      </c>
      <c r="E18" s="851">
        <v>188.64599999999999</v>
      </c>
      <c r="F18" s="851">
        <v>47.405999999999999</v>
      </c>
      <c r="G18" s="851">
        <v>59.451999999999998</v>
      </c>
      <c r="H18" s="851">
        <v>85.807000000000002</v>
      </c>
      <c r="I18" s="849">
        <v>79.712000000000003</v>
      </c>
      <c r="J18" s="849">
        <v>82.671000000000006</v>
      </c>
      <c r="K18" s="849">
        <v>100.68899999999999</v>
      </c>
      <c r="L18" s="849">
        <v>152.238</v>
      </c>
      <c r="M18" s="849">
        <v>143.03700000000001</v>
      </c>
      <c r="N18" s="849">
        <v>148.95400000000001</v>
      </c>
      <c r="O18" s="849">
        <v>156.126</v>
      </c>
      <c r="P18" s="849">
        <v>164.27</v>
      </c>
      <c r="Q18" s="309"/>
      <c r="R18" s="849">
        <v>148.95400000000001</v>
      </c>
      <c r="S18" s="849">
        <v>156.126</v>
      </c>
      <c r="T18" s="849">
        <v>164.27</v>
      </c>
      <c r="U18" s="309"/>
      <c r="V18" s="309"/>
      <c r="W18" s="309"/>
      <c r="X18" s="309"/>
      <c r="Y18" s="309"/>
    </row>
    <row r="19" spans="1:25" ht="16.5" customHeight="1" x14ac:dyDescent="0.2">
      <c r="A19" s="864" t="s">
        <v>903</v>
      </c>
      <c r="B19" s="864" t="s">
        <v>1695</v>
      </c>
      <c r="C19" s="831" t="s">
        <v>904</v>
      </c>
      <c r="D19" s="849">
        <v>2087.4659999999999</v>
      </c>
      <c r="E19" s="851">
        <v>1576.972</v>
      </c>
      <c r="F19" s="851">
        <v>1659.23</v>
      </c>
      <c r="G19" s="851">
        <v>1699.1869999999999</v>
      </c>
      <c r="H19" s="851">
        <v>1714.779</v>
      </c>
      <c r="I19" s="849">
        <v>2117.8330000000001</v>
      </c>
      <c r="J19" s="849">
        <v>2504.402</v>
      </c>
      <c r="K19" s="849">
        <v>2945.3249999999998</v>
      </c>
      <c r="L19" s="849">
        <v>2942.62</v>
      </c>
      <c r="M19" s="849">
        <v>2870.3689999999997</v>
      </c>
      <c r="N19" s="849">
        <v>2982.9839999999999</v>
      </c>
      <c r="O19" s="849">
        <v>3218.4830000000002</v>
      </c>
      <c r="P19" s="849">
        <v>3452.4650000000001</v>
      </c>
      <c r="Q19" s="309"/>
      <c r="R19" s="849">
        <v>2982.9839999999999</v>
      </c>
      <c r="S19" s="849">
        <v>3218.4830000000002</v>
      </c>
      <c r="T19" s="849">
        <v>3452.4650000000001</v>
      </c>
      <c r="U19" s="309"/>
      <c r="V19" s="309"/>
      <c r="W19" s="309"/>
      <c r="X19" s="309"/>
      <c r="Y19" s="309"/>
    </row>
    <row r="20" spans="1:25" ht="16.5" customHeight="1" x14ac:dyDescent="0.2">
      <c r="A20" s="860" t="s">
        <v>905</v>
      </c>
      <c r="B20" s="860" t="s">
        <v>1696</v>
      </c>
      <c r="C20" s="831" t="s">
        <v>906</v>
      </c>
      <c r="D20" s="849">
        <v>205.96799999999999</v>
      </c>
      <c r="E20" s="851">
        <v>155.755</v>
      </c>
      <c r="F20" s="851">
        <v>152.33199999999999</v>
      </c>
      <c r="G20" s="851">
        <v>143.19999999999999</v>
      </c>
      <c r="H20" s="851">
        <v>167.14400000000001</v>
      </c>
      <c r="I20" s="849">
        <v>177.78399999999999</v>
      </c>
      <c r="J20" s="849">
        <v>175.06100000000001</v>
      </c>
      <c r="K20" s="849">
        <v>162.006</v>
      </c>
      <c r="L20" s="849">
        <v>179.21100000000001</v>
      </c>
      <c r="M20" s="849">
        <v>179.553</v>
      </c>
      <c r="N20" s="849">
        <v>253.43100000000001</v>
      </c>
      <c r="O20" s="849">
        <v>257.86699999999996</v>
      </c>
      <c r="P20" s="849">
        <v>269.00199999999995</v>
      </c>
      <c r="Q20" s="309"/>
      <c r="R20" s="849">
        <v>253.43100000000001</v>
      </c>
      <c r="S20" s="849">
        <v>257.86699999999996</v>
      </c>
      <c r="T20" s="849">
        <v>269.00199999999995</v>
      </c>
      <c r="U20" s="309"/>
      <c r="V20" s="309"/>
      <c r="W20" s="309"/>
      <c r="X20" s="309"/>
      <c r="Y20" s="309"/>
    </row>
    <row r="21" spans="1:25" s="311" customFormat="1" ht="16.5" customHeight="1" x14ac:dyDescent="0.2">
      <c r="A21" s="860" t="s">
        <v>907</v>
      </c>
      <c r="B21" s="860" t="s">
        <v>1697</v>
      </c>
      <c r="C21" s="831" t="s">
        <v>906</v>
      </c>
      <c r="D21" s="849">
        <v>0</v>
      </c>
      <c r="E21" s="849">
        <v>0</v>
      </c>
      <c r="F21" s="849">
        <v>0</v>
      </c>
      <c r="G21" s="849">
        <v>0</v>
      </c>
      <c r="H21" s="849">
        <f>10.028-10.028</f>
        <v>0</v>
      </c>
      <c r="I21" s="849">
        <f>0.012-0.012</f>
        <v>0</v>
      </c>
      <c r="J21" s="849">
        <f>0.006-0.006</f>
        <v>0</v>
      </c>
      <c r="K21" s="849">
        <v>0</v>
      </c>
      <c r="L21" s="849">
        <v>0</v>
      </c>
      <c r="M21" s="849">
        <v>0</v>
      </c>
      <c r="N21" s="849">
        <v>0</v>
      </c>
      <c r="O21" s="849">
        <v>0</v>
      </c>
      <c r="P21" s="849">
        <v>0</v>
      </c>
      <c r="Q21" s="309"/>
      <c r="R21" s="849">
        <v>0</v>
      </c>
      <c r="S21" s="849">
        <v>0</v>
      </c>
      <c r="T21" s="849">
        <v>0</v>
      </c>
      <c r="U21" s="309"/>
      <c r="V21" s="309"/>
      <c r="W21" s="309"/>
      <c r="X21" s="309"/>
      <c r="Y21" s="309"/>
    </row>
    <row r="22" spans="1:25" ht="16.5" customHeight="1" x14ac:dyDescent="0.2">
      <c r="A22" s="864" t="s">
        <v>895</v>
      </c>
      <c r="B22" s="864" t="s">
        <v>1698</v>
      </c>
      <c r="C22" s="831" t="s">
        <v>908</v>
      </c>
      <c r="D22" s="849">
        <v>78.835999999999999</v>
      </c>
      <c r="E22" s="849">
        <v>84.311999999999998</v>
      </c>
      <c r="F22" s="849">
        <v>87.986999999999995</v>
      </c>
      <c r="G22" s="849">
        <v>90.650999999999996</v>
      </c>
      <c r="H22" s="849">
        <v>100.535</v>
      </c>
      <c r="I22" s="849">
        <v>104.57899999999999</v>
      </c>
      <c r="J22" s="849">
        <v>105.777</v>
      </c>
      <c r="K22" s="849">
        <v>106.937</v>
      </c>
      <c r="L22" s="849">
        <v>112.11969409666666</v>
      </c>
      <c r="M22" s="849">
        <v>116.443</v>
      </c>
      <c r="N22" s="849">
        <v>118.818</v>
      </c>
      <c r="O22" s="849">
        <v>121.07600000000001</v>
      </c>
      <c r="P22" s="849">
        <v>123.521</v>
      </c>
      <c r="Q22" s="309"/>
      <c r="R22" s="849">
        <v>118.818</v>
      </c>
      <c r="S22" s="849">
        <v>121.07600000000001</v>
      </c>
      <c r="T22" s="849">
        <v>123.521</v>
      </c>
      <c r="U22" s="309"/>
      <c r="V22" s="309"/>
      <c r="W22" s="309"/>
      <c r="X22" s="309"/>
      <c r="Y22" s="309"/>
    </row>
    <row r="23" spans="1:25" ht="16.5" customHeight="1" x14ac:dyDescent="0.2">
      <c r="A23" s="868" t="s">
        <v>909</v>
      </c>
      <c r="B23" s="868" t="s">
        <v>1699</v>
      </c>
      <c r="C23" s="830" t="s">
        <v>910</v>
      </c>
      <c r="D23" s="848">
        <v>0.1</v>
      </c>
      <c r="E23" s="849">
        <v>4.4999999999999998E-2</v>
      </c>
      <c r="F23" s="849">
        <v>0.02</v>
      </c>
      <c r="G23" s="849">
        <v>1.2999999999999999E-2</v>
      </c>
      <c r="H23" s="849">
        <v>1.2E-2</v>
      </c>
      <c r="I23" s="849">
        <v>7.0000000000000001E-3</v>
      </c>
      <c r="J23" s="849">
        <v>4.0000000000000001E-3</v>
      </c>
      <c r="K23" s="849">
        <v>-6.0000000000000001E-3</v>
      </c>
      <c r="L23" s="849">
        <v>4.0000000000000001E-3</v>
      </c>
      <c r="M23" s="849">
        <v>0</v>
      </c>
      <c r="N23" s="849">
        <v>0</v>
      </c>
      <c r="O23" s="849">
        <v>0</v>
      </c>
      <c r="P23" s="849">
        <v>0</v>
      </c>
      <c r="Q23" s="309"/>
      <c r="R23" s="849">
        <v>0</v>
      </c>
      <c r="S23" s="849">
        <v>0</v>
      </c>
      <c r="T23" s="849">
        <v>0</v>
      </c>
      <c r="U23" s="309"/>
      <c r="V23" s="309"/>
      <c r="W23" s="309"/>
      <c r="X23" s="309"/>
      <c r="Y23" s="309"/>
    </row>
    <row r="24" spans="1:25" s="310" customFormat="1" ht="16.5" customHeight="1" x14ac:dyDescent="0.2">
      <c r="A24" s="867" t="s">
        <v>911</v>
      </c>
      <c r="B24" s="867" t="s">
        <v>1700</v>
      </c>
      <c r="C24" s="829" t="s">
        <v>912</v>
      </c>
      <c r="D24" s="847">
        <f t="shared" ref="D24:P24" si="6">D25+D29</f>
        <v>8081.1660000000002</v>
      </c>
      <c r="E24" s="847">
        <f t="shared" si="6"/>
        <v>8042.8820000000005</v>
      </c>
      <c r="F24" s="847">
        <f t="shared" si="6"/>
        <v>8323.8810000000012</v>
      </c>
      <c r="G24" s="847">
        <f t="shared" si="6"/>
        <v>8721.9049999999988</v>
      </c>
      <c r="H24" s="847">
        <f t="shared" si="6"/>
        <v>9107.7000000000007</v>
      </c>
      <c r="I24" s="847">
        <f t="shared" si="6"/>
        <v>10006.788</v>
      </c>
      <c r="J24" s="847">
        <f t="shared" si="6"/>
        <v>10360.110999999999</v>
      </c>
      <c r="K24" s="847">
        <f t="shared" si="6"/>
        <v>11042.304000000002</v>
      </c>
      <c r="L24" s="847">
        <f t="shared" si="6"/>
        <v>11616.000999999998</v>
      </c>
      <c r="M24" s="847">
        <f t="shared" si="6"/>
        <v>12215.810000000001</v>
      </c>
      <c r="N24" s="847">
        <f t="shared" si="6"/>
        <v>12779.473</v>
      </c>
      <c r="O24" s="847">
        <f t="shared" si="6"/>
        <v>13441.588</v>
      </c>
      <c r="P24" s="847">
        <f t="shared" si="6"/>
        <v>14188.288999999999</v>
      </c>
      <c r="Q24" s="309"/>
      <c r="R24" s="847">
        <f>R25+R29</f>
        <v>12779.473</v>
      </c>
      <c r="S24" s="847">
        <f>S25+S29</f>
        <v>13441.588</v>
      </c>
      <c r="T24" s="847">
        <f>T25+T29</f>
        <v>14188.288999999999</v>
      </c>
      <c r="U24" s="309"/>
      <c r="V24" s="309"/>
      <c r="W24" s="309"/>
      <c r="X24" s="309"/>
      <c r="Y24" s="309"/>
    </row>
    <row r="25" spans="1:25" ht="22.5" customHeight="1" x14ac:dyDescent="0.2">
      <c r="A25" s="870" t="s">
        <v>913</v>
      </c>
      <c r="B25" s="870" t="s">
        <v>1712</v>
      </c>
      <c r="C25" s="830" t="s">
        <v>914</v>
      </c>
      <c r="D25" s="848">
        <f t="shared" ref="D25:K25" si="7">D26+D27+D28</f>
        <v>7994.9760000000006</v>
      </c>
      <c r="E25" s="848">
        <f t="shared" si="7"/>
        <v>7947.0910000000003</v>
      </c>
      <c r="F25" s="848">
        <f t="shared" si="7"/>
        <v>8185.0930000000008</v>
      </c>
      <c r="G25" s="848">
        <f t="shared" si="7"/>
        <v>8573.57</v>
      </c>
      <c r="H25" s="848">
        <f t="shared" si="7"/>
        <v>8987.6020000000008</v>
      </c>
      <c r="I25" s="848">
        <f t="shared" si="7"/>
        <v>9864.496000000001</v>
      </c>
      <c r="J25" s="848">
        <f t="shared" si="7"/>
        <v>10206.748</v>
      </c>
      <c r="K25" s="848">
        <f t="shared" si="7"/>
        <v>10871.448000000002</v>
      </c>
      <c r="L25" s="848">
        <f t="shared" ref="L25:P25" si="8">SUM(L26:L27)</f>
        <v>11435.365999999998</v>
      </c>
      <c r="M25" s="848">
        <f t="shared" si="8"/>
        <v>12039.114000000001</v>
      </c>
      <c r="N25" s="848">
        <f t="shared" si="8"/>
        <v>12601.307999999999</v>
      </c>
      <c r="O25" s="848">
        <f t="shared" si="8"/>
        <v>13262.981</v>
      </c>
      <c r="P25" s="848">
        <f t="shared" si="8"/>
        <v>14009.565999999999</v>
      </c>
      <c r="Q25" s="309"/>
      <c r="R25" s="848">
        <f t="shared" ref="R25:T25" si="9">SUM(R26:R27)</f>
        <v>12601.307999999999</v>
      </c>
      <c r="S25" s="848">
        <f t="shared" si="9"/>
        <v>13262.981</v>
      </c>
      <c r="T25" s="848">
        <f t="shared" si="9"/>
        <v>14009.565999999999</v>
      </c>
      <c r="U25" s="309"/>
      <c r="V25" s="309"/>
      <c r="W25" s="309"/>
      <c r="X25" s="309"/>
      <c r="Y25" s="309"/>
    </row>
    <row r="26" spans="1:25" ht="16.5" customHeight="1" x14ac:dyDescent="0.2">
      <c r="A26" s="860" t="s">
        <v>915</v>
      </c>
      <c r="B26" s="860" t="s">
        <v>1713</v>
      </c>
      <c r="C26" s="831" t="s">
        <v>916</v>
      </c>
      <c r="D26" s="848">
        <f>1817.308+2647.291</f>
        <v>4464.5990000000002</v>
      </c>
      <c r="E26" s="848">
        <f>1747.634+2558.815</f>
        <v>4306.4490000000005</v>
      </c>
      <c r="F26" s="848">
        <f>1783.901+2795.29</f>
        <v>4579.1909999999998</v>
      </c>
      <c r="G26" s="848">
        <f>1907.943+2742.951</f>
        <v>4650.8940000000002</v>
      </c>
      <c r="H26" s="848">
        <f>2067.599+2801.073</f>
        <v>4868.6720000000005</v>
      </c>
      <c r="I26" s="848">
        <f>2530.574+3024.958</f>
        <v>5555.5320000000002</v>
      </c>
      <c r="J26" s="848">
        <f>2650.909+3180.657</f>
        <v>5831.5660000000007</v>
      </c>
      <c r="K26" s="848">
        <f>2923.897+3358.847</f>
        <v>6282.7440000000006</v>
      </c>
      <c r="L26" s="848">
        <v>6466.0869999999995</v>
      </c>
      <c r="M26" s="848">
        <v>6786.3490000000002</v>
      </c>
      <c r="N26" s="848">
        <v>7135.7709999999997</v>
      </c>
      <c r="O26" s="848">
        <v>7514.1350000000002</v>
      </c>
      <c r="P26" s="848">
        <v>7934.625</v>
      </c>
      <c r="Q26" s="309"/>
      <c r="R26" s="848">
        <v>7135.7709999999997</v>
      </c>
      <c r="S26" s="848">
        <v>7514.1350000000002</v>
      </c>
      <c r="T26" s="848">
        <v>7934.625</v>
      </c>
      <c r="U26" s="309"/>
      <c r="V26" s="309"/>
      <c r="W26" s="309"/>
      <c r="X26" s="309"/>
      <c r="Y26" s="309"/>
    </row>
    <row r="27" spans="1:25" ht="16.5" customHeight="1" x14ac:dyDescent="0.2">
      <c r="A27" s="860" t="s">
        <v>917</v>
      </c>
      <c r="B27" s="860" t="s">
        <v>1714</v>
      </c>
      <c r="C27" s="831" t="s">
        <v>918</v>
      </c>
      <c r="D27" s="848">
        <v>1982.5840000000001</v>
      </c>
      <c r="E27" s="848">
        <v>1911.952</v>
      </c>
      <c r="F27" s="848">
        <v>2108.2130000000002</v>
      </c>
      <c r="G27" s="848">
        <v>2050.326</v>
      </c>
      <c r="H27" s="848">
        <v>2159.192</v>
      </c>
      <c r="I27" s="848">
        <f>2254.846</f>
        <v>2254.846</v>
      </c>
      <c r="J27" s="848">
        <v>2292.3809999999999</v>
      </c>
      <c r="K27" s="848">
        <v>2477.6559999999999</v>
      </c>
      <c r="L27" s="848">
        <v>4969.2789999999995</v>
      </c>
      <c r="M27" s="848">
        <v>5252.7650000000003</v>
      </c>
      <c r="N27" s="848">
        <v>5465.5369999999994</v>
      </c>
      <c r="O27" s="848">
        <v>5748.8459999999995</v>
      </c>
      <c r="P27" s="848">
        <v>6074.9409999999998</v>
      </c>
      <c r="Q27" s="309"/>
      <c r="R27" s="848">
        <v>5465.5369999999994</v>
      </c>
      <c r="S27" s="848">
        <v>5748.8459999999995</v>
      </c>
      <c r="T27" s="848">
        <v>6074.9409999999998</v>
      </c>
      <c r="U27" s="309"/>
      <c r="V27" s="309"/>
      <c r="W27" s="309"/>
      <c r="X27" s="309"/>
      <c r="Y27" s="309"/>
    </row>
    <row r="28" spans="1:25" ht="16.5" customHeight="1" x14ac:dyDescent="0.2">
      <c r="A28" s="860" t="s">
        <v>919</v>
      </c>
      <c r="B28" s="860" t="s">
        <v>1715</v>
      </c>
      <c r="C28" s="831" t="s">
        <v>920</v>
      </c>
      <c r="D28" s="848">
        <f>0.066+1547.727+0</f>
        <v>1547.7930000000001</v>
      </c>
      <c r="E28" s="848">
        <f>0.026+1728.664+0</f>
        <v>1728.69</v>
      </c>
      <c r="F28" s="848">
        <f>0.029+1497.66+0</f>
        <v>1497.6890000000001</v>
      </c>
      <c r="G28" s="848">
        <f>0.014+1872.336+0</f>
        <v>1872.35</v>
      </c>
      <c r="H28" s="848">
        <f>0.108+1959.63+0</f>
        <v>1959.7380000000001</v>
      </c>
      <c r="I28" s="848">
        <f>0.214+2053.904+0</f>
        <v>2054.1179999999999</v>
      </c>
      <c r="J28" s="848">
        <f>0.244+2082.557+0</f>
        <v>2082.8009999999999</v>
      </c>
      <c r="K28" s="848">
        <f>0.295+2110.753</f>
        <v>2111.0480000000002</v>
      </c>
      <c r="L28" s="848" t="s">
        <v>16</v>
      </c>
      <c r="M28" s="848" t="s">
        <v>16</v>
      </c>
      <c r="N28" s="848" t="s">
        <v>16</v>
      </c>
      <c r="O28" s="848" t="s">
        <v>16</v>
      </c>
      <c r="P28" s="848" t="s">
        <v>16</v>
      </c>
      <c r="Q28" s="309"/>
      <c r="R28" s="848" t="s">
        <v>16</v>
      </c>
      <c r="S28" s="848" t="s">
        <v>16</v>
      </c>
      <c r="T28" s="848" t="s">
        <v>16</v>
      </c>
      <c r="U28" s="309"/>
      <c r="V28" s="309"/>
      <c r="W28" s="309"/>
      <c r="X28" s="309"/>
      <c r="Y28" s="309"/>
    </row>
    <row r="29" spans="1:25" ht="16.5" customHeight="1" x14ac:dyDescent="0.2">
      <c r="A29" s="870" t="s">
        <v>921</v>
      </c>
      <c r="B29" s="870" t="s">
        <v>1716</v>
      </c>
      <c r="C29" s="830" t="s">
        <v>922</v>
      </c>
      <c r="D29" s="848">
        <v>86.19</v>
      </c>
      <c r="E29" s="848">
        <v>95.790999999999997</v>
      </c>
      <c r="F29" s="848">
        <v>138.78800000000001</v>
      </c>
      <c r="G29" s="848">
        <v>148.33500000000001</v>
      </c>
      <c r="H29" s="848">
        <v>120.098</v>
      </c>
      <c r="I29" s="848">
        <v>142.292</v>
      </c>
      <c r="J29" s="848">
        <v>153.363</v>
      </c>
      <c r="K29" s="848">
        <v>170.85599999999999</v>
      </c>
      <c r="L29" s="848">
        <v>180.63499999999999</v>
      </c>
      <c r="M29" s="848">
        <v>176.696</v>
      </c>
      <c r="N29" s="848">
        <v>178.16499999999999</v>
      </c>
      <c r="O29" s="848">
        <v>178.607</v>
      </c>
      <c r="P29" s="848">
        <v>178.72299999999998</v>
      </c>
      <c r="Q29" s="309"/>
      <c r="R29" s="848">
        <v>178.16499999999999</v>
      </c>
      <c r="S29" s="848">
        <v>178.607</v>
      </c>
      <c r="T29" s="848">
        <v>178.72299999999998</v>
      </c>
      <c r="U29" s="309"/>
      <c r="V29" s="309"/>
      <c r="W29" s="309"/>
      <c r="X29" s="309"/>
      <c r="Y29" s="309"/>
    </row>
    <row r="30" spans="1:25" s="312" customFormat="1" ht="16.5" customHeight="1" x14ac:dyDescent="0.2">
      <c r="A30" s="832" t="s">
        <v>923</v>
      </c>
      <c r="B30" s="832" t="s">
        <v>1701</v>
      </c>
      <c r="C30" s="829" t="s">
        <v>1631</v>
      </c>
      <c r="D30" s="847">
        <f>D31+D34</f>
        <v>2557.1579999999999</v>
      </c>
      <c r="E30" s="847">
        <f t="shared" ref="E30:H30" si="10">E31+E34</f>
        <v>2910.665</v>
      </c>
      <c r="F30" s="847">
        <f t="shared" si="10"/>
        <v>2843.1269999999995</v>
      </c>
      <c r="G30" s="847">
        <f t="shared" si="10"/>
        <v>3189.625</v>
      </c>
      <c r="H30" s="847">
        <f t="shared" si="10"/>
        <v>3755.8669999999997</v>
      </c>
      <c r="I30" s="847">
        <f>I31+I34</f>
        <v>3902.5699999999997</v>
      </c>
      <c r="J30" s="847">
        <f>J31+J34</f>
        <v>3842.3780000000002</v>
      </c>
      <c r="K30" s="847">
        <f>K31+K34</f>
        <v>4115.3609999999999</v>
      </c>
      <c r="L30" s="847">
        <f>L31+L34</f>
        <v>4367.7179999999998</v>
      </c>
      <c r="M30" s="847">
        <f t="shared" ref="M30:P30" si="11">M31+M34</f>
        <v>4009.2720000000004</v>
      </c>
      <c r="N30" s="847">
        <f t="shared" si="11"/>
        <v>3985.0450000000005</v>
      </c>
      <c r="O30" s="847">
        <f t="shared" si="11"/>
        <v>4039.8270000000002</v>
      </c>
      <c r="P30" s="847">
        <f t="shared" si="11"/>
        <v>4079.4769999999999</v>
      </c>
      <c r="Q30" s="309"/>
      <c r="R30" s="847">
        <f t="shared" ref="R30:T30" si="12">R31+R34</f>
        <v>4057.3810000000003</v>
      </c>
      <c r="S30" s="847">
        <f t="shared" si="12"/>
        <v>4163.201</v>
      </c>
      <c r="T30" s="847">
        <f t="shared" si="12"/>
        <v>4263.9480000000003</v>
      </c>
      <c r="U30" s="309"/>
      <c r="V30" s="309"/>
      <c r="W30" s="309"/>
      <c r="X30" s="309"/>
      <c r="Y30" s="309"/>
    </row>
    <row r="31" spans="1:25" ht="16.5" customHeight="1" x14ac:dyDescent="0.2">
      <c r="A31" s="868" t="s">
        <v>924</v>
      </c>
      <c r="B31" s="868" t="s">
        <v>1702</v>
      </c>
      <c r="C31" s="830" t="s">
        <v>1629</v>
      </c>
      <c r="D31" s="849">
        <f>D32+D33</f>
        <v>1705.797</v>
      </c>
      <c r="E31" s="849">
        <f t="shared" ref="E31:P31" si="13">E32+E33</f>
        <v>2050.0650000000001</v>
      </c>
      <c r="F31" s="849">
        <f t="shared" si="13"/>
        <v>2201.9249999999997</v>
      </c>
      <c r="G31" s="849">
        <f t="shared" si="13"/>
        <v>2526.605</v>
      </c>
      <c r="H31" s="849">
        <f t="shared" si="13"/>
        <v>2929.5279999999998</v>
      </c>
      <c r="I31" s="849">
        <f t="shared" si="13"/>
        <v>3233.4449999999997</v>
      </c>
      <c r="J31" s="849">
        <f t="shared" si="13"/>
        <v>3290.152</v>
      </c>
      <c r="K31" s="849">
        <f t="shared" si="13"/>
        <v>3482.3019999999997</v>
      </c>
      <c r="L31" s="849">
        <f t="shared" si="13"/>
        <v>3590.0390000000002</v>
      </c>
      <c r="M31" s="849">
        <f t="shared" si="13"/>
        <v>3431.7430000000004</v>
      </c>
      <c r="N31" s="849">
        <f t="shared" si="13"/>
        <v>3445.4080000000004</v>
      </c>
      <c r="O31" s="849">
        <f t="shared" si="13"/>
        <v>3493.232</v>
      </c>
      <c r="P31" s="849">
        <f t="shared" si="13"/>
        <v>3530.239</v>
      </c>
      <c r="Q31" s="309"/>
      <c r="R31" s="849">
        <f t="shared" ref="R31:T31" si="14">R32+R33</f>
        <v>3517.7440000000001</v>
      </c>
      <c r="S31" s="849">
        <f t="shared" si="14"/>
        <v>3616.6059999999998</v>
      </c>
      <c r="T31" s="849">
        <f t="shared" si="14"/>
        <v>3714.71</v>
      </c>
      <c r="U31" s="309"/>
      <c r="V31" s="309"/>
      <c r="W31" s="309"/>
      <c r="X31" s="309"/>
      <c r="Y31" s="309"/>
    </row>
    <row r="32" spans="1:25" ht="16.5" customHeight="1" x14ac:dyDescent="0.2">
      <c r="A32" s="860" t="s">
        <v>925</v>
      </c>
      <c r="B32" s="860" t="s">
        <v>1703</v>
      </c>
      <c r="C32" s="830" t="s">
        <v>926</v>
      </c>
      <c r="D32" s="848">
        <v>1586.164</v>
      </c>
      <c r="E32" s="849">
        <v>1932.933</v>
      </c>
      <c r="F32" s="849">
        <v>2082.9319999999998</v>
      </c>
      <c r="G32" s="849">
        <v>2401.89</v>
      </c>
      <c r="H32" s="848">
        <v>2768.491</v>
      </c>
      <c r="I32" s="848">
        <v>3069.4859999999999</v>
      </c>
      <c r="J32" s="848">
        <v>3126.9369999999999</v>
      </c>
      <c r="K32" s="848">
        <v>3336.1329999999998</v>
      </c>
      <c r="L32" s="848">
        <v>3445.759</v>
      </c>
      <c r="M32" s="848">
        <v>3397.9590000000003</v>
      </c>
      <c r="N32" s="849">
        <v>3411.6090000000004</v>
      </c>
      <c r="O32" s="849">
        <v>3459.4180000000001</v>
      </c>
      <c r="P32" s="849">
        <v>3496.4250000000002</v>
      </c>
      <c r="Q32" s="309"/>
      <c r="R32" s="849">
        <v>3483.9450000000002</v>
      </c>
      <c r="S32" s="849">
        <v>3582.7919999999999</v>
      </c>
      <c r="T32" s="849">
        <v>3680.8960000000002</v>
      </c>
      <c r="U32" s="309"/>
      <c r="V32" s="309"/>
      <c r="W32" s="309"/>
      <c r="X32" s="309"/>
      <c r="Y32" s="309"/>
    </row>
    <row r="33" spans="1:25" ht="16.5" customHeight="1" x14ac:dyDescent="0.2">
      <c r="A33" s="860" t="s">
        <v>927</v>
      </c>
      <c r="B33" s="860" t="s">
        <v>1704</v>
      </c>
      <c r="C33" s="830" t="s">
        <v>928</v>
      </c>
      <c r="D33" s="849">
        <v>119.633</v>
      </c>
      <c r="E33" s="851">
        <v>117.13200000000001</v>
      </c>
      <c r="F33" s="851">
        <v>118.99299999999999</v>
      </c>
      <c r="G33" s="851">
        <v>124.715</v>
      </c>
      <c r="H33" s="850">
        <v>161.03700000000001</v>
      </c>
      <c r="I33" s="848">
        <v>163.959</v>
      </c>
      <c r="J33" s="848">
        <v>163.215</v>
      </c>
      <c r="K33" s="848">
        <v>146.16900000000001</v>
      </c>
      <c r="L33" s="848">
        <v>144.28</v>
      </c>
      <c r="M33" s="848">
        <v>33.783999999999999</v>
      </c>
      <c r="N33" s="849">
        <v>33.798999999999999</v>
      </c>
      <c r="O33" s="849">
        <v>33.814</v>
      </c>
      <c r="P33" s="849">
        <v>33.814</v>
      </c>
      <c r="Q33" s="309"/>
      <c r="R33" s="849">
        <v>33.798999999999999</v>
      </c>
      <c r="S33" s="849">
        <v>33.814</v>
      </c>
      <c r="T33" s="849">
        <v>33.814</v>
      </c>
      <c r="U33" s="309"/>
      <c r="V33" s="309"/>
      <c r="W33" s="309"/>
      <c r="X33" s="309"/>
      <c r="Y33" s="309"/>
    </row>
    <row r="34" spans="1:25" ht="16.5" customHeight="1" x14ac:dyDescent="0.2">
      <c r="A34" s="870" t="s">
        <v>929</v>
      </c>
      <c r="B34" s="870" t="s">
        <v>1705</v>
      </c>
      <c r="C34" s="830" t="s">
        <v>930</v>
      </c>
      <c r="D34" s="849">
        <v>851.36099999999999</v>
      </c>
      <c r="E34" s="851">
        <v>860.6</v>
      </c>
      <c r="F34" s="851">
        <v>641.202</v>
      </c>
      <c r="G34" s="851">
        <v>663.02</v>
      </c>
      <c r="H34" s="850">
        <v>826.33900000000006</v>
      </c>
      <c r="I34" s="848">
        <v>669.125</v>
      </c>
      <c r="J34" s="848">
        <v>552.226</v>
      </c>
      <c r="K34" s="848">
        <v>633.05899999999997</v>
      </c>
      <c r="L34" s="848">
        <v>777.67899999999997</v>
      </c>
      <c r="M34" s="848">
        <v>577.529</v>
      </c>
      <c r="N34" s="849">
        <v>539.63700000000006</v>
      </c>
      <c r="O34" s="849">
        <v>546.59500000000003</v>
      </c>
      <c r="P34" s="849">
        <v>549.23800000000006</v>
      </c>
      <c r="Q34" s="309"/>
      <c r="R34" s="849">
        <v>539.63700000000006</v>
      </c>
      <c r="S34" s="849">
        <v>546.59500000000003</v>
      </c>
      <c r="T34" s="849">
        <v>549.23800000000006</v>
      </c>
      <c r="U34" s="309"/>
      <c r="V34" s="309"/>
      <c r="W34" s="309"/>
      <c r="X34" s="309"/>
      <c r="Y34" s="309"/>
    </row>
    <row r="35" spans="1:25" ht="16.5" customHeight="1" x14ac:dyDescent="0.25">
      <c r="A35" s="860" t="s">
        <v>931</v>
      </c>
      <c r="B35" s="860" t="s">
        <v>1706</v>
      </c>
      <c r="C35" s="833" t="s">
        <v>1630</v>
      </c>
      <c r="D35" s="848">
        <v>506.34</v>
      </c>
      <c r="E35" s="851">
        <v>590.29999999999995</v>
      </c>
      <c r="F35" s="851">
        <v>445.36599999999999</v>
      </c>
      <c r="G35" s="851">
        <v>476.6</v>
      </c>
      <c r="H35" s="851">
        <v>634.42200000000003</v>
      </c>
      <c r="I35" s="849">
        <v>460.00900000000001</v>
      </c>
      <c r="J35" s="849">
        <f>396.975-396.975+304.096</f>
        <v>304.096</v>
      </c>
      <c r="K35" s="849">
        <f>444.674-444.674+349.759</f>
        <v>349.75900000000001</v>
      </c>
      <c r="L35" s="849">
        <v>495.56200000000001</v>
      </c>
      <c r="M35" s="849">
        <v>481.75700000000001</v>
      </c>
      <c r="N35" s="849">
        <v>449.62400000000002</v>
      </c>
      <c r="O35" s="849">
        <v>456.44000000000005</v>
      </c>
      <c r="P35" s="849">
        <v>456.68100000000004</v>
      </c>
      <c r="Q35" s="309"/>
      <c r="R35" s="849">
        <v>449.62400000000002</v>
      </c>
      <c r="S35" s="849">
        <v>456.44000000000005</v>
      </c>
      <c r="T35" s="849">
        <v>456.68100000000004</v>
      </c>
      <c r="U35" s="309"/>
      <c r="V35" s="309"/>
      <c r="W35" s="309"/>
      <c r="X35" s="309"/>
      <c r="Y35" s="309"/>
    </row>
    <row r="36" spans="1:25" ht="16.5" customHeight="1" x14ac:dyDescent="0.25">
      <c r="A36" s="860" t="s">
        <v>932</v>
      </c>
      <c r="B36" s="860" t="s">
        <v>1658</v>
      </c>
      <c r="C36" s="833" t="s">
        <v>933</v>
      </c>
      <c r="D36" s="849">
        <v>293.72500000000002</v>
      </c>
      <c r="E36" s="851">
        <v>225.732</v>
      </c>
      <c r="F36" s="851">
        <v>120.059</v>
      </c>
      <c r="G36" s="851">
        <v>137.69900000000001</v>
      </c>
      <c r="H36" s="851">
        <v>143.86600000000001</v>
      </c>
      <c r="I36" s="849">
        <v>155.85499999999999</v>
      </c>
      <c r="J36" s="849">
        <v>191.41</v>
      </c>
      <c r="K36" s="849">
        <v>226.809</v>
      </c>
      <c r="L36" s="849">
        <v>225.69399999999999</v>
      </c>
      <c r="M36" s="849">
        <v>43.657000000000004</v>
      </c>
      <c r="N36" s="849">
        <v>38.195999999999998</v>
      </c>
      <c r="O36" s="849">
        <v>38.338000000000001</v>
      </c>
      <c r="P36" s="849">
        <v>40.74</v>
      </c>
      <c r="Q36" s="309"/>
      <c r="R36" s="849">
        <v>38.195999999999998</v>
      </c>
      <c r="S36" s="849">
        <v>38.338000000000001</v>
      </c>
      <c r="T36" s="849">
        <v>40.74</v>
      </c>
      <c r="U36" s="309"/>
      <c r="V36" s="309"/>
      <c r="W36" s="309"/>
      <c r="X36" s="309"/>
      <c r="Y36" s="309"/>
    </row>
    <row r="37" spans="1:25" s="312" customFormat="1" ht="16.5" customHeight="1" x14ac:dyDescent="0.2">
      <c r="A37" s="867" t="s">
        <v>934</v>
      </c>
      <c r="B37" s="867" t="s">
        <v>1707</v>
      </c>
      <c r="C37" s="829" t="s">
        <v>935</v>
      </c>
      <c r="D37" s="847">
        <f>D39+D40+D41</f>
        <v>1318.019</v>
      </c>
      <c r="E37" s="847">
        <f t="shared" ref="E37:H37" si="15">E39+E40+E41</f>
        <v>1905.3870000000002</v>
      </c>
      <c r="F37" s="847">
        <f t="shared" si="15"/>
        <v>1664.1469999999999</v>
      </c>
      <c r="G37" s="847">
        <f t="shared" si="15"/>
        <v>2464.5929999999998</v>
      </c>
      <c r="H37" s="847">
        <f t="shared" si="15"/>
        <v>2125.9639999999999</v>
      </c>
      <c r="I37" s="847">
        <f>I39+I40+I41</f>
        <v>2462.9769999999999</v>
      </c>
      <c r="J37" s="847">
        <f>J39+J40+J41</f>
        <v>2400.038</v>
      </c>
      <c r="K37" s="847">
        <f>K39+K40+K41</f>
        <v>4231.4849999999997</v>
      </c>
      <c r="L37" s="847">
        <f>L39+L40+L41</f>
        <v>1538.828</v>
      </c>
      <c r="M37" s="847">
        <f t="shared" ref="M37:P37" si="16">M39+M40+M41</f>
        <v>1755.3970000000002</v>
      </c>
      <c r="N37" s="847">
        <f t="shared" si="16"/>
        <v>1498.8050000000001</v>
      </c>
      <c r="O37" s="847">
        <f t="shared" si="16"/>
        <v>2076.9749999999999</v>
      </c>
      <c r="P37" s="847">
        <f t="shared" si="16"/>
        <v>1996.1659999999999</v>
      </c>
      <c r="Q37" s="309"/>
      <c r="R37" s="847">
        <f>R39+R40+R41</f>
        <v>1482.0542349999989</v>
      </c>
      <c r="S37" s="847">
        <f>S39+S40+S41</f>
        <v>2027.4178763310008</v>
      </c>
      <c r="T37" s="847">
        <f>T39+T40+T41</f>
        <v>1987.4587618417147</v>
      </c>
      <c r="U37" s="309"/>
      <c r="V37" s="309"/>
      <c r="W37" s="309"/>
      <c r="X37" s="309"/>
      <c r="Y37" s="309"/>
    </row>
    <row r="38" spans="1:25" ht="16.5" customHeight="1" x14ac:dyDescent="0.25">
      <c r="A38" s="866" t="s">
        <v>936</v>
      </c>
      <c r="B38" s="866" t="s">
        <v>1708</v>
      </c>
      <c r="C38" s="834"/>
      <c r="D38" s="849">
        <f>863.316-664.004+(82.62)</f>
        <v>281.93200000000002</v>
      </c>
      <c r="E38" s="849">
        <f>1111.48-809.95+(-7.137)</f>
        <v>294.39299999999997</v>
      </c>
      <c r="F38" s="849">
        <f>1663.755-1239.247+(225.936)</f>
        <v>650.44400000000007</v>
      </c>
      <c r="G38" s="849">
        <f>2031.344-1297.937+(60.035)</f>
        <v>793.44200000000012</v>
      </c>
      <c r="H38" s="848">
        <f>2127.345-1208.845+(-113.094)</f>
        <v>805.40599999999972</v>
      </c>
      <c r="I38" s="848">
        <f>2174.997-1218.111+(-148.212)</f>
        <v>808.67399999999975</v>
      </c>
      <c r="J38" s="848">
        <f>1257.505-818.843+(756.009)</f>
        <v>1194.6710000000003</v>
      </c>
      <c r="K38" s="848">
        <f>(4296.74+0.703)-1522.199+22.795-198.509+1522.199-1333.354</f>
        <v>2788.375</v>
      </c>
      <c r="L38" s="848">
        <f>(0.877+2589.767)-956.938-209.81</f>
        <v>1423.8959999999997</v>
      </c>
      <c r="M38" s="848">
        <v>999.94100000000003</v>
      </c>
      <c r="N38" s="849">
        <v>791.82599999999991</v>
      </c>
      <c r="O38" s="849">
        <v>1374.5040000000001</v>
      </c>
      <c r="P38" s="849">
        <v>1332.694</v>
      </c>
      <c r="Q38" s="309"/>
      <c r="R38" s="849">
        <v>791.82599999999991</v>
      </c>
      <c r="S38" s="849">
        <v>1374.5040000000001</v>
      </c>
      <c r="T38" s="849">
        <v>1332.694</v>
      </c>
      <c r="U38" s="309"/>
      <c r="V38" s="309"/>
      <c r="W38" s="309"/>
      <c r="X38" s="309"/>
      <c r="Y38" s="309"/>
    </row>
    <row r="39" spans="1:25" ht="16.5" customHeight="1" x14ac:dyDescent="0.2">
      <c r="A39" s="868" t="s">
        <v>937</v>
      </c>
      <c r="B39" s="868" t="s">
        <v>1709</v>
      </c>
      <c r="C39" s="830" t="s">
        <v>938</v>
      </c>
      <c r="D39" s="849">
        <v>0</v>
      </c>
      <c r="E39" s="849">
        <v>0</v>
      </c>
      <c r="F39" s="849">
        <v>0</v>
      </c>
      <c r="G39" s="849">
        <v>0</v>
      </c>
      <c r="H39" s="848">
        <v>0</v>
      </c>
      <c r="I39" s="848">
        <v>0</v>
      </c>
      <c r="J39" s="848">
        <v>0</v>
      </c>
      <c r="K39" s="848">
        <v>0</v>
      </c>
      <c r="L39" s="848">
        <v>0</v>
      </c>
      <c r="M39" s="848">
        <v>0</v>
      </c>
      <c r="N39" s="849"/>
      <c r="O39" s="849"/>
      <c r="P39" s="849"/>
      <c r="Q39" s="309"/>
      <c r="R39" s="849">
        <v>0</v>
      </c>
      <c r="S39" s="849">
        <v>0</v>
      </c>
      <c r="T39" s="849">
        <v>0</v>
      </c>
      <c r="U39" s="309"/>
      <c r="V39" s="309"/>
      <c r="W39" s="309"/>
      <c r="X39" s="309"/>
      <c r="Y39" s="309"/>
    </row>
    <row r="40" spans="1:25" ht="16.5" customHeight="1" x14ac:dyDescent="0.2">
      <c r="A40" s="870" t="s">
        <v>939</v>
      </c>
      <c r="B40" s="870" t="s">
        <v>1710</v>
      </c>
      <c r="C40" s="830" t="s">
        <v>940</v>
      </c>
      <c r="D40" s="848">
        <v>1155.759</v>
      </c>
      <c r="E40" s="848">
        <v>1274.8440000000001</v>
      </c>
      <c r="F40" s="849">
        <v>1027.778</v>
      </c>
      <c r="G40" s="849">
        <v>1583.7190000000001</v>
      </c>
      <c r="H40" s="848">
        <v>1347.222</v>
      </c>
      <c r="I40" s="848">
        <v>1477.7139999999999</v>
      </c>
      <c r="J40" s="848">
        <v>1438.0309999999999</v>
      </c>
      <c r="K40" s="848">
        <v>2157.163</v>
      </c>
      <c r="L40" s="848">
        <v>984.404</v>
      </c>
      <c r="M40" s="848">
        <v>1712.4040000000002</v>
      </c>
      <c r="N40" s="849">
        <v>1471.8310000000001</v>
      </c>
      <c r="O40" s="849">
        <v>2046.4569999999999</v>
      </c>
      <c r="P40" s="849">
        <v>1965.6379999999999</v>
      </c>
      <c r="Q40" s="309"/>
      <c r="R40" s="849">
        <v>1455.080234999999</v>
      </c>
      <c r="S40" s="849">
        <v>1996.8998763310008</v>
      </c>
      <c r="T40" s="849">
        <v>1956.9307618417147</v>
      </c>
      <c r="U40" s="309"/>
      <c r="V40" s="309"/>
      <c r="W40" s="309"/>
      <c r="X40" s="309"/>
      <c r="Y40" s="309"/>
    </row>
    <row r="41" spans="1:25" ht="16.5" customHeight="1" x14ac:dyDescent="0.2">
      <c r="A41" s="871" t="s">
        <v>941</v>
      </c>
      <c r="B41" s="871" t="s">
        <v>1711</v>
      </c>
      <c r="C41" s="835" t="s">
        <v>942</v>
      </c>
      <c r="D41" s="849">
        <f>162.36-D23</f>
        <v>162.26000000000002</v>
      </c>
      <c r="E41" s="849">
        <f>630.588-E23</f>
        <v>630.54300000000001</v>
      </c>
      <c r="F41" s="849">
        <v>636.36900000000003</v>
      </c>
      <c r="G41" s="849">
        <f>880.887-G23</f>
        <v>880.87399999999991</v>
      </c>
      <c r="H41" s="848">
        <f>778.754-H23</f>
        <v>778.74200000000008</v>
      </c>
      <c r="I41" s="848">
        <f>985.27-I23</f>
        <v>985.26300000000003</v>
      </c>
      <c r="J41" s="848">
        <f>962.011-J23</f>
        <v>962.00699999999995</v>
      </c>
      <c r="K41" s="848">
        <f>2074.316-K23</f>
        <v>2074.3219999999997</v>
      </c>
      <c r="L41" s="848">
        <f>554.428-L23</f>
        <v>554.42399999999998</v>
      </c>
      <c r="M41" s="848">
        <v>42.992999999999995</v>
      </c>
      <c r="N41" s="849">
        <v>26.974</v>
      </c>
      <c r="O41" s="849">
        <v>30.518000000000001</v>
      </c>
      <c r="P41" s="849">
        <v>30.528000000000002</v>
      </c>
      <c r="Q41" s="309"/>
      <c r="R41" s="849">
        <v>26.974</v>
      </c>
      <c r="S41" s="849">
        <v>30.518000000000001</v>
      </c>
      <c r="T41" s="849">
        <v>30.528000000000002</v>
      </c>
      <c r="U41" s="309"/>
      <c r="V41" s="309"/>
      <c r="W41" s="309"/>
      <c r="X41" s="309"/>
      <c r="Y41" s="309"/>
    </row>
    <row r="42" spans="1:25" ht="16.5" customHeight="1" x14ac:dyDescent="0.2">
      <c r="A42" s="821" t="s">
        <v>943</v>
      </c>
      <c r="B42" s="821" t="s">
        <v>1640</v>
      </c>
      <c r="C42" s="822" t="s">
        <v>944</v>
      </c>
      <c r="D42" s="852">
        <f>D44+D81</f>
        <v>25299.29</v>
      </c>
      <c r="E42" s="852">
        <f t="shared" ref="E42:L42" si="17">E44+E81</f>
        <v>28224.154999999999</v>
      </c>
      <c r="F42" s="852">
        <f t="shared" si="17"/>
        <v>28480.449000000001</v>
      </c>
      <c r="G42" s="852">
        <f t="shared" si="17"/>
        <v>28827.822</v>
      </c>
      <c r="H42" s="852">
        <f t="shared" si="17"/>
        <v>29539.480999999996</v>
      </c>
      <c r="I42" s="852">
        <f t="shared" si="17"/>
        <v>30736.550999999996</v>
      </c>
      <c r="J42" s="852">
        <f t="shared" si="17"/>
        <v>31910.616000000002</v>
      </c>
      <c r="K42" s="852">
        <f t="shared" si="17"/>
        <v>35850.418999999994</v>
      </c>
      <c r="L42" s="852">
        <f t="shared" si="17"/>
        <v>33706.260999999999</v>
      </c>
      <c r="M42" s="852">
        <f t="shared" ref="M42:P42" si="18">M45+M48+M49+M52+M58+M61+M78+M81</f>
        <v>34615.375</v>
      </c>
      <c r="N42" s="853">
        <f t="shared" si="18"/>
        <v>35027.787000000004</v>
      </c>
      <c r="O42" s="853">
        <f t="shared" si="18"/>
        <v>36677.885000000002</v>
      </c>
      <c r="P42" s="853">
        <f t="shared" si="18"/>
        <v>38233.161</v>
      </c>
      <c r="Q42" s="309"/>
      <c r="R42" s="877">
        <f t="shared" ref="R42:T42" si="19">R45+R48+R49+R52+R58+R61+R78+R81</f>
        <v>34601.851345000003</v>
      </c>
      <c r="S42" s="853">
        <f t="shared" si="19"/>
        <v>36549.457820475007</v>
      </c>
      <c r="T42" s="853">
        <f t="shared" si="19"/>
        <v>37751.850648053143</v>
      </c>
      <c r="U42" s="309"/>
      <c r="V42" s="309"/>
      <c r="W42" s="309"/>
      <c r="X42" s="309"/>
      <c r="Y42" s="309"/>
    </row>
    <row r="43" spans="1:25" ht="16.5" customHeight="1" x14ac:dyDescent="0.2">
      <c r="A43" s="824" t="s">
        <v>53</v>
      </c>
      <c r="B43" s="824" t="s">
        <v>1639</v>
      </c>
      <c r="C43" s="825"/>
      <c r="D43" s="854">
        <f>D42/D90</f>
        <v>0.36937799671784566</v>
      </c>
      <c r="E43" s="854">
        <f>E42/E90</f>
        <v>0.4408433049946035</v>
      </c>
      <c r="F43" s="854">
        <f t="shared" ref="F43:P43" si="20">F42/F90</f>
        <v>0.42144993955070709</v>
      </c>
      <c r="G43" s="854">
        <f t="shared" si="20"/>
        <v>0.40816883580263696</v>
      </c>
      <c r="H43" s="854">
        <f t="shared" si="20"/>
        <v>0.40630067328257918</v>
      </c>
      <c r="I43" s="854">
        <f t="shared" si="20"/>
        <v>0.41440749130040971</v>
      </c>
      <c r="J43" s="854">
        <f t="shared" si="20"/>
        <v>0.4201730855853143</v>
      </c>
      <c r="K43" s="854">
        <f t="shared" si="20"/>
        <v>0.45561596219730549</v>
      </c>
      <c r="L43" s="854">
        <f t="shared" si="20"/>
        <v>0.41634253976913754</v>
      </c>
      <c r="M43" s="854">
        <f t="shared" si="20"/>
        <v>0.40926023812244244</v>
      </c>
      <c r="N43" s="854">
        <f t="shared" si="20"/>
        <v>0.39202456603731356</v>
      </c>
      <c r="O43" s="854">
        <f t="shared" si="20"/>
        <v>0.38578627350296224</v>
      </c>
      <c r="P43" s="854">
        <f t="shared" si="20"/>
        <v>0.37956143024434758</v>
      </c>
      <c r="Q43" s="309"/>
      <c r="R43" s="827">
        <f>R42/R90*100</f>
        <v>38.725757232711445</v>
      </c>
      <c r="S43" s="854">
        <f>S42/S90*100</f>
        <v>38.443544743964253</v>
      </c>
      <c r="T43" s="854">
        <f>T42/T90*100</f>
        <v>37.478320001702322</v>
      </c>
      <c r="U43" s="309"/>
      <c r="V43" s="309"/>
      <c r="W43" s="309"/>
      <c r="X43" s="309"/>
      <c r="Y43" s="309"/>
    </row>
    <row r="44" spans="1:25" s="310" customFormat="1" ht="16.5" customHeight="1" x14ac:dyDescent="0.25">
      <c r="A44" s="836" t="s">
        <v>945</v>
      </c>
      <c r="B44" s="836" t="s">
        <v>1643</v>
      </c>
      <c r="C44" s="829" t="s">
        <v>1637</v>
      </c>
      <c r="D44" s="847">
        <f>D45+D48+D49+D52+D58+D61+D78</f>
        <v>22436.556</v>
      </c>
      <c r="E44" s="847">
        <f t="shared" ref="E44:P44" si="21">E45+E48+E49+E52+E58+E61+E78</f>
        <v>24547.108</v>
      </c>
      <c r="F44" s="847">
        <f t="shared" si="21"/>
        <v>25435.564000000002</v>
      </c>
      <c r="G44" s="847">
        <f t="shared" si="21"/>
        <v>25656.080999999998</v>
      </c>
      <c r="H44" s="847">
        <f t="shared" si="21"/>
        <v>26646.898999999998</v>
      </c>
      <c r="I44" s="847">
        <f t="shared" si="21"/>
        <v>27803.979999999996</v>
      </c>
      <c r="J44" s="847">
        <f t="shared" si="21"/>
        <v>28683.547000000002</v>
      </c>
      <c r="K44" s="847">
        <f t="shared" si="21"/>
        <v>30076.887999999995</v>
      </c>
      <c r="L44" s="847">
        <f t="shared" si="21"/>
        <v>30528.093000000001</v>
      </c>
      <c r="M44" s="847">
        <f t="shared" si="21"/>
        <v>31458.635999999999</v>
      </c>
      <c r="N44" s="847">
        <f t="shared" si="21"/>
        <v>32356.467000000001</v>
      </c>
      <c r="O44" s="847">
        <f t="shared" si="21"/>
        <v>33971</v>
      </c>
      <c r="P44" s="847">
        <f t="shared" si="21"/>
        <v>35107.798999999999</v>
      </c>
      <c r="Q44" s="309"/>
      <c r="R44" s="847">
        <f t="shared" ref="R44:T44" si="22">R45+R48+R49+R52+R58+R61+R78</f>
        <v>32183.486065000005</v>
      </c>
      <c r="S44" s="847">
        <f t="shared" si="22"/>
        <v>33799.542736635005</v>
      </c>
      <c r="T44" s="847">
        <f t="shared" si="22"/>
        <v>34895.185731104983</v>
      </c>
      <c r="U44" s="309"/>
      <c r="V44" s="309"/>
      <c r="W44" s="309"/>
      <c r="X44" s="309"/>
      <c r="Y44" s="309"/>
    </row>
    <row r="45" spans="1:25" s="312" customFormat="1" ht="16.5" customHeight="1" x14ac:dyDescent="0.2">
      <c r="A45" s="865" t="s">
        <v>330</v>
      </c>
      <c r="B45" s="865" t="s">
        <v>1644</v>
      </c>
      <c r="C45" s="837" t="s">
        <v>776</v>
      </c>
      <c r="D45" s="849">
        <v>5123.9579999999996</v>
      </c>
      <c r="E45" s="849">
        <v>5479.2550000000001</v>
      </c>
      <c r="F45" s="849">
        <v>5716.1260000000002</v>
      </c>
      <c r="G45" s="849">
        <v>5845.6589999999997</v>
      </c>
      <c r="H45" s="848">
        <v>5991.2939999999999</v>
      </c>
      <c r="I45" s="848">
        <v>6356.049</v>
      </c>
      <c r="J45" s="848">
        <v>6693.7380000000003</v>
      </c>
      <c r="K45" s="848">
        <v>7049.4970000000003</v>
      </c>
      <c r="L45" s="848">
        <v>7398.8270000000002</v>
      </c>
      <c r="M45" s="848">
        <f>7380.858+147.952</f>
        <v>7528.81</v>
      </c>
      <c r="N45" s="849">
        <f>7927.664+111.493</f>
        <v>8039.1570000000002</v>
      </c>
      <c r="O45" s="849">
        <f>8389.925+200.249</f>
        <v>8590.1739999999991</v>
      </c>
      <c r="P45" s="849">
        <f>8609.96+296.42</f>
        <v>8906.3799999999992</v>
      </c>
      <c r="Q45" s="309"/>
      <c r="R45" s="849">
        <v>7937.9119799999999</v>
      </c>
      <c r="S45" s="849">
        <v>8449.214750019999</v>
      </c>
      <c r="T45" s="849">
        <v>8853.577197771061</v>
      </c>
      <c r="U45" s="309"/>
      <c r="V45" s="309"/>
      <c r="W45" s="309"/>
      <c r="X45" s="309"/>
      <c r="Y45" s="309"/>
    </row>
    <row r="46" spans="1:25" s="312" customFormat="1" ht="16.5" customHeight="1" x14ac:dyDescent="0.2">
      <c r="A46" s="860" t="s">
        <v>946</v>
      </c>
      <c r="B46" s="860" t="s">
        <v>1645</v>
      </c>
      <c r="C46" s="831" t="s">
        <v>947</v>
      </c>
      <c r="D46" s="848">
        <v>3882.7379999999998</v>
      </c>
      <c r="E46" s="848">
        <v>4068.3440000000001</v>
      </c>
      <c r="F46" s="848">
        <v>4241.7030000000004</v>
      </c>
      <c r="G46" s="848">
        <v>4259.3040000000001</v>
      </c>
      <c r="H46" s="848">
        <v>4439.4539999999997</v>
      </c>
      <c r="I46" s="848">
        <v>4666.4269999999997</v>
      </c>
      <c r="J46" s="848">
        <v>4894.2</v>
      </c>
      <c r="K46" s="848">
        <v>5141.5820000000003</v>
      </c>
      <c r="L46" s="848">
        <v>5410.8980000000001</v>
      </c>
      <c r="M46" s="848">
        <f>5363.929+109.432</f>
        <v>5473.3609999999999</v>
      </c>
      <c r="N46" s="848">
        <f>5796.192+82.465</f>
        <v>5878.6570000000002</v>
      </c>
      <c r="O46" s="848">
        <f>6152.346+148.113</f>
        <v>6300.4589999999998</v>
      </c>
      <c r="P46" s="848">
        <f>6311.208+219.246</f>
        <v>6530.4539999999997</v>
      </c>
      <c r="Q46" s="309"/>
      <c r="R46" s="848">
        <v>5809.4523999999992</v>
      </c>
      <c r="S46" s="848">
        <v>6218.5853975999999</v>
      </c>
      <c r="T46" s="848">
        <v>6514.9993156728005</v>
      </c>
      <c r="U46" s="309"/>
      <c r="V46" s="309"/>
      <c r="W46" s="309"/>
      <c r="X46" s="309"/>
      <c r="Y46" s="309"/>
    </row>
    <row r="47" spans="1:25" s="312" customFormat="1" ht="16.5" customHeight="1" x14ac:dyDescent="0.2">
      <c r="A47" s="860" t="s">
        <v>948</v>
      </c>
      <c r="B47" s="860" t="s">
        <v>1646</v>
      </c>
      <c r="C47" s="831" t="s">
        <v>949</v>
      </c>
      <c r="D47" s="848">
        <v>1241.22</v>
      </c>
      <c r="E47" s="848">
        <v>1410.9110000000001</v>
      </c>
      <c r="F47" s="848">
        <v>1474.423</v>
      </c>
      <c r="G47" s="848">
        <v>1586.355</v>
      </c>
      <c r="H47" s="848">
        <v>1551.84</v>
      </c>
      <c r="I47" s="848">
        <v>1689.6220000000001</v>
      </c>
      <c r="J47" s="848">
        <v>1799.538</v>
      </c>
      <c r="K47" s="848">
        <v>1907.915</v>
      </c>
      <c r="L47" s="848">
        <v>1987.9290000000001</v>
      </c>
      <c r="M47" s="848">
        <f t="shared" ref="M47:P47" si="23">M45-M46</f>
        <v>2055.4490000000005</v>
      </c>
      <c r="N47" s="848">
        <f t="shared" si="23"/>
        <v>2160.5</v>
      </c>
      <c r="O47" s="848">
        <f t="shared" si="23"/>
        <v>2289.7149999999992</v>
      </c>
      <c r="P47" s="848">
        <f t="shared" si="23"/>
        <v>2375.9259999999995</v>
      </c>
      <c r="Q47" s="309"/>
      <c r="R47" s="848">
        <f t="shared" ref="R47:T47" si="24">R45-R46</f>
        <v>2128.4595800000006</v>
      </c>
      <c r="S47" s="848">
        <f t="shared" si="24"/>
        <v>2230.6293524199991</v>
      </c>
      <c r="T47" s="848">
        <f t="shared" si="24"/>
        <v>2338.5778820982605</v>
      </c>
      <c r="U47" s="309"/>
      <c r="V47" s="309"/>
      <c r="W47" s="309"/>
      <c r="X47" s="309"/>
      <c r="Y47" s="309"/>
    </row>
    <row r="48" spans="1:25" s="312" customFormat="1" ht="16.5" customHeight="1" x14ac:dyDescent="0.2">
      <c r="A48" s="865" t="s">
        <v>950</v>
      </c>
      <c r="B48" s="865" t="s">
        <v>1647</v>
      </c>
      <c r="C48" s="837" t="s">
        <v>126</v>
      </c>
      <c r="D48" s="849">
        <v>3313.989</v>
      </c>
      <c r="E48" s="849">
        <v>3898.5259999999998</v>
      </c>
      <c r="F48" s="849">
        <v>3871.6979999999999</v>
      </c>
      <c r="G48" s="849">
        <v>3985.3670000000002</v>
      </c>
      <c r="H48" s="848">
        <v>4006.7040000000002</v>
      </c>
      <c r="I48" s="848">
        <v>4101.7309999999998</v>
      </c>
      <c r="J48" s="848">
        <v>4266.165</v>
      </c>
      <c r="K48" s="848">
        <v>4654.8230000000003</v>
      </c>
      <c r="L48" s="848">
        <v>4452.0780000000004</v>
      </c>
      <c r="M48" s="848">
        <f>4838.867-50</f>
        <v>4788.8670000000002</v>
      </c>
      <c r="N48" s="849">
        <v>4700.433</v>
      </c>
      <c r="O48" s="849">
        <v>4824.7329999999993</v>
      </c>
      <c r="P48" s="849">
        <v>5013.3389999999999</v>
      </c>
      <c r="Q48" s="309"/>
      <c r="R48" s="849">
        <v>4734.6755980000034</v>
      </c>
      <c r="S48" s="849">
        <v>4882.3698183620008</v>
      </c>
      <c r="T48" s="849">
        <v>4965.6706615476032</v>
      </c>
      <c r="U48" s="309"/>
      <c r="V48" s="309"/>
      <c r="W48" s="309"/>
      <c r="X48" s="309"/>
      <c r="Y48" s="309"/>
    </row>
    <row r="49" spans="1:25" s="312" customFormat="1" ht="16.5" customHeight="1" x14ac:dyDescent="0.2">
      <c r="A49" s="866" t="s">
        <v>951</v>
      </c>
      <c r="B49" s="866" t="s">
        <v>1648</v>
      </c>
      <c r="C49" s="837" t="s">
        <v>952</v>
      </c>
      <c r="D49" s="849">
        <f>D50+D51</f>
        <v>54.347999999999999</v>
      </c>
      <c r="E49" s="849">
        <f t="shared" ref="E49:P49" si="25">E50+E51</f>
        <v>43.553999999999995</v>
      </c>
      <c r="F49" s="849">
        <f t="shared" si="25"/>
        <v>59.741</v>
      </c>
      <c r="G49" s="849">
        <f t="shared" si="25"/>
        <v>68.228999999999999</v>
      </c>
      <c r="H49" s="848">
        <f t="shared" si="25"/>
        <v>78.296000000000006</v>
      </c>
      <c r="I49" s="848">
        <f t="shared" si="25"/>
        <v>81.658000000000001</v>
      </c>
      <c r="J49" s="848">
        <f t="shared" si="25"/>
        <v>68.736000000000004</v>
      </c>
      <c r="K49" s="848">
        <f t="shared" si="25"/>
        <v>71.3</v>
      </c>
      <c r="L49" s="848">
        <f t="shared" si="25"/>
        <v>68.677999999999997</v>
      </c>
      <c r="M49" s="848">
        <f t="shared" si="25"/>
        <v>49.786000000000001</v>
      </c>
      <c r="N49" s="849">
        <f t="shared" si="25"/>
        <v>50.771000000000001</v>
      </c>
      <c r="O49" s="849">
        <f t="shared" si="25"/>
        <v>49.805999999999997</v>
      </c>
      <c r="P49" s="849">
        <f t="shared" si="25"/>
        <v>49.805999999999997</v>
      </c>
      <c r="Q49" s="309"/>
      <c r="R49" s="849">
        <f t="shared" ref="R49:T49" si="26">R50+R51</f>
        <v>50.771000000000001</v>
      </c>
      <c r="S49" s="849">
        <f t="shared" si="26"/>
        <v>49.805999999999997</v>
      </c>
      <c r="T49" s="849">
        <f t="shared" si="26"/>
        <v>49.805999999999997</v>
      </c>
      <c r="U49" s="309"/>
      <c r="V49" s="309"/>
      <c r="W49" s="309"/>
      <c r="X49" s="309"/>
      <c r="Y49" s="309"/>
    </row>
    <row r="50" spans="1:25" ht="16.5" customHeight="1" x14ac:dyDescent="0.2">
      <c r="A50" s="838" t="s">
        <v>953</v>
      </c>
      <c r="B50" s="838" t="s">
        <v>1649</v>
      </c>
      <c r="C50" s="830" t="s">
        <v>954</v>
      </c>
      <c r="D50" s="849">
        <v>35.125</v>
      </c>
      <c r="E50" s="849">
        <v>35.180999999999997</v>
      </c>
      <c r="F50" s="849">
        <v>39.637</v>
      </c>
      <c r="G50" s="849">
        <v>49.838999999999999</v>
      </c>
      <c r="H50" s="848">
        <v>58.804000000000002</v>
      </c>
      <c r="I50" s="848">
        <v>56.468000000000004</v>
      </c>
      <c r="J50" s="848">
        <v>38.512</v>
      </c>
      <c r="K50" s="848">
        <v>60.713000000000001</v>
      </c>
      <c r="L50" s="848">
        <v>55.362000000000002</v>
      </c>
      <c r="M50" s="848">
        <v>49.786000000000001</v>
      </c>
      <c r="N50" s="849">
        <v>50.771000000000001</v>
      </c>
      <c r="O50" s="849">
        <v>49.805999999999997</v>
      </c>
      <c r="P50" s="849">
        <v>49.805999999999997</v>
      </c>
      <c r="Q50" s="309"/>
      <c r="R50" s="849">
        <v>50.771000000000001</v>
      </c>
      <c r="S50" s="849">
        <v>49.805999999999997</v>
      </c>
      <c r="T50" s="849">
        <v>49.805999999999997</v>
      </c>
      <c r="U50" s="309"/>
      <c r="V50" s="309"/>
      <c r="W50" s="309"/>
      <c r="X50" s="309"/>
      <c r="Y50" s="309"/>
    </row>
    <row r="51" spans="1:25" ht="16.5" customHeight="1" x14ac:dyDescent="0.2">
      <c r="A51" s="838" t="s">
        <v>955</v>
      </c>
      <c r="B51" s="838" t="s">
        <v>1650</v>
      </c>
      <c r="C51" s="830" t="s">
        <v>898</v>
      </c>
      <c r="D51" s="849">
        <v>19.222999999999999</v>
      </c>
      <c r="E51" s="851">
        <v>8.3729999999999993</v>
      </c>
      <c r="F51" s="851">
        <v>20.103999999999999</v>
      </c>
      <c r="G51" s="851">
        <v>18.39</v>
      </c>
      <c r="H51" s="850">
        <v>19.492000000000001</v>
      </c>
      <c r="I51" s="848">
        <v>25.19</v>
      </c>
      <c r="J51" s="848">
        <v>30.224</v>
      </c>
      <c r="K51" s="848">
        <v>10.587</v>
      </c>
      <c r="L51" s="848">
        <v>13.316000000000001</v>
      </c>
      <c r="M51" s="848">
        <v>0</v>
      </c>
      <c r="N51" s="849">
        <v>0</v>
      </c>
      <c r="O51" s="849">
        <v>0</v>
      </c>
      <c r="P51" s="849">
        <v>0</v>
      </c>
      <c r="Q51" s="309"/>
      <c r="R51" s="849">
        <v>0</v>
      </c>
      <c r="S51" s="849">
        <v>0</v>
      </c>
      <c r="T51" s="849">
        <v>0</v>
      </c>
      <c r="U51" s="309"/>
      <c r="V51" s="309"/>
      <c r="W51" s="309"/>
      <c r="X51" s="309"/>
      <c r="Y51" s="309"/>
    </row>
    <row r="52" spans="1:25" s="312" customFormat="1" ht="16.5" customHeight="1" x14ac:dyDescent="0.2">
      <c r="A52" s="866" t="s">
        <v>956</v>
      </c>
      <c r="B52" s="866" t="s">
        <v>1651</v>
      </c>
      <c r="C52" s="837" t="s">
        <v>957</v>
      </c>
      <c r="D52" s="849">
        <v>919.86900000000003</v>
      </c>
      <c r="E52" s="851">
        <v>734.25800000000004</v>
      </c>
      <c r="F52" s="851">
        <v>623.35900000000004</v>
      </c>
      <c r="G52" s="851">
        <v>498.55099999999999</v>
      </c>
      <c r="H52" s="850">
        <v>490.51600000000002</v>
      </c>
      <c r="I52" s="848">
        <v>574.00099999999998</v>
      </c>
      <c r="J52" s="848">
        <v>519.81799999999998</v>
      </c>
      <c r="K52" s="848">
        <v>463.73599999999999</v>
      </c>
      <c r="L52" s="848">
        <v>376.40100000000001</v>
      </c>
      <c r="M52" s="848">
        <v>491.62900000000002</v>
      </c>
      <c r="N52" s="849">
        <v>427.08199999999999</v>
      </c>
      <c r="O52" s="849">
        <v>432.48700000000002</v>
      </c>
      <c r="P52" s="849">
        <v>433.58699999999999</v>
      </c>
      <c r="Q52" s="309"/>
      <c r="R52" s="849">
        <v>420.15212700000006</v>
      </c>
      <c r="S52" s="849">
        <v>428.23541741300005</v>
      </c>
      <c r="T52" s="849">
        <v>432.00593817867303</v>
      </c>
      <c r="U52" s="309"/>
      <c r="V52" s="309"/>
      <c r="W52" s="309"/>
      <c r="X52" s="309"/>
      <c r="Y52" s="309"/>
    </row>
    <row r="53" spans="1:25" s="312" customFormat="1" ht="16.5" customHeight="1" x14ac:dyDescent="0.25">
      <c r="A53" s="860" t="s">
        <v>958</v>
      </c>
      <c r="B53" s="860" t="s">
        <v>1652</v>
      </c>
      <c r="C53" s="833"/>
      <c r="D53" s="849">
        <f>0+325.997</f>
        <v>325.99700000000001</v>
      </c>
      <c r="E53" s="851">
        <f>0.009+210.503</f>
        <v>210.51199999999997</v>
      </c>
      <c r="F53" s="851">
        <f>0.061+196.916</f>
        <v>196.977</v>
      </c>
      <c r="G53" s="851">
        <f>0.068+151.421</f>
        <v>151.489</v>
      </c>
      <c r="H53" s="850">
        <f>0+120.155</f>
        <v>120.155</v>
      </c>
      <c r="I53" s="848">
        <f>0+138.037</f>
        <v>138.03700000000001</v>
      </c>
      <c r="J53" s="848">
        <f>0+469.54-469.54+91.73</f>
        <v>91.73</v>
      </c>
      <c r="K53" s="848">
        <v>68.584999999999994</v>
      </c>
      <c r="L53" s="848">
        <v>57.859000000000002</v>
      </c>
      <c r="M53" s="848">
        <v>181.21299999999999</v>
      </c>
      <c r="N53" s="849">
        <v>119.432</v>
      </c>
      <c r="O53" s="849">
        <v>124.09699999999999</v>
      </c>
      <c r="P53" s="849">
        <v>124.09699999999999</v>
      </c>
      <c r="Q53" s="309"/>
      <c r="R53" s="849">
        <v>114.87712700000006</v>
      </c>
      <c r="S53" s="849">
        <v>119.90599841299999</v>
      </c>
      <c r="T53" s="849">
        <v>120.31581337967305</v>
      </c>
      <c r="U53" s="309"/>
      <c r="V53" s="309"/>
      <c r="W53" s="309"/>
      <c r="X53" s="309"/>
      <c r="Y53" s="309"/>
    </row>
    <row r="54" spans="1:25" s="312" customFormat="1" ht="16.5" customHeight="1" x14ac:dyDescent="0.25">
      <c r="A54" s="860" t="s">
        <v>959</v>
      </c>
      <c r="B54" s="860" t="s">
        <v>1653</v>
      </c>
      <c r="C54" s="833"/>
      <c r="D54" s="849">
        <f>93.014+488.784-29.897-165.97</f>
        <v>385.93099999999993</v>
      </c>
      <c r="E54" s="851">
        <f>96.421+436.378-29.068-270.339</f>
        <v>233.392</v>
      </c>
      <c r="F54" s="851">
        <f>94.731+485.316-42.054-228.114</f>
        <v>309.87900000000002</v>
      </c>
      <c r="G54" s="851">
        <f>93.573+547.911-28.816-199.498-105.301-67.516</f>
        <v>240.35299999999989</v>
      </c>
      <c r="H54" s="850">
        <f>94.782+891.384-28.334-345.988-174.99-199.342</f>
        <v>237.51200000000003</v>
      </c>
      <c r="I54" s="848">
        <f>103.597+695.788-40.446-333.753-197.559</f>
        <v>227.62699999999998</v>
      </c>
      <c r="J54" s="848">
        <f>106.32+413.45-83.331-197.559</f>
        <v>238.87999999999997</v>
      </c>
      <c r="K54" s="848">
        <f>360.958+110.061-209.559</f>
        <v>261.46000000000004</v>
      </c>
      <c r="L54" s="848">
        <f>87.187+155.134</f>
        <v>242.32099999999997</v>
      </c>
      <c r="M54" s="848">
        <v>162.87100000000001</v>
      </c>
      <c r="N54" s="849">
        <v>167.87100000000001</v>
      </c>
      <c r="O54" s="849">
        <v>168.541</v>
      </c>
      <c r="P54" s="849">
        <v>169.64099999999999</v>
      </c>
      <c r="Q54" s="309"/>
      <c r="R54" s="849">
        <v>165.49600000000001</v>
      </c>
      <c r="S54" s="849">
        <v>168.48041899999998</v>
      </c>
      <c r="T54" s="849">
        <v>171.84112479899997</v>
      </c>
      <c r="U54" s="309"/>
      <c r="V54" s="309"/>
      <c r="W54" s="309"/>
      <c r="X54" s="309"/>
      <c r="Y54" s="309"/>
    </row>
    <row r="55" spans="1:25" s="312" customFormat="1" ht="16.5" customHeight="1" x14ac:dyDescent="0.25">
      <c r="A55" s="862" t="s">
        <v>960</v>
      </c>
      <c r="B55" s="862" t="s">
        <v>1654</v>
      </c>
      <c r="C55" s="833"/>
      <c r="D55" s="849">
        <f>0+381.232-165.97</f>
        <v>215.26200000000003</v>
      </c>
      <c r="E55" s="851">
        <f>0+315.342-270.339</f>
        <v>45.002999999999986</v>
      </c>
      <c r="F55" s="851">
        <f>0+337.519-228.114</f>
        <v>109.405</v>
      </c>
      <c r="G55" s="851">
        <f>0+404.903-199.498-105.301-67.516</f>
        <v>32.588000000000022</v>
      </c>
      <c r="H55" s="850">
        <f>0+736.51-345.988-174.99-199.342</f>
        <v>16.189999999999969</v>
      </c>
      <c r="I55" s="848">
        <f>0+538.753-333.753-197.559</f>
        <v>7.4410000000000593</v>
      </c>
      <c r="J55" s="848">
        <f>0+265.108-197.559</f>
        <v>67.549000000000007</v>
      </c>
      <c r="K55" s="848">
        <f>218.096-209.559</f>
        <v>8.5370000000000061</v>
      </c>
      <c r="L55" s="848">
        <f>9.633</f>
        <v>9.6329999999999991</v>
      </c>
      <c r="M55" s="848">
        <v>8.8710000000000004</v>
      </c>
      <c r="N55" s="848">
        <v>8.5709999999999997</v>
      </c>
      <c r="O55" s="848">
        <v>8.4410000000000007</v>
      </c>
      <c r="P55" s="848">
        <v>8.4410000000000007</v>
      </c>
      <c r="Q55" s="309"/>
      <c r="R55" s="848">
        <v>8.8949999999999996</v>
      </c>
      <c r="S55" s="848">
        <v>8.923</v>
      </c>
      <c r="T55" s="848">
        <v>8.9540000000000006</v>
      </c>
      <c r="U55" s="309"/>
      <c r="V55" s="309"/>
      <c r="W55" s="309"/>
      <c r="X55" s="309"/>
      <c r="Y55" s="309"/>
    </row>
    <row r="56" spans="1:25" s="312" customFormat="1" ht="16.5" customHeight="1" x14ac:dyDescent="0.25">
      <c r="A56" s="862" t="s">
        <v>961</v>
      </c>
      <c r="B56" s="862" t="s">
        <v>1655</v>
      </c>
      <c r="C56" s="833"/>
      <c r="D56" s="849">
        <f>93.014+102.14-29.897</f>
        <v>165.25700000000001</v>
      </c>
      <c r="E56" s="851">
        <f>96.421+115.062-29.068</f>
        <v>182.41499999999999</v>
      </c>
      <c r="F56" s="851">
        <f>94.731+141.166-42.054</f>
        <v>193.84299999999999</v>
      </c>
      <c r="G56" s="851">
        <f>93.573+135.374-28.816</f>
        <v>200.131</v>
      </c>
      <c r="H56" s="850">
        <f>94.782+147.742-28.334</f>
        <v>214.19</v>
      </c>
      <c r="I56" s="848">
        <f>103.597+151.037-40.446</f>
        <v>214.18800000000002</v>
      </c>
      <c r="J56" s="848">
        <f>106.32+140.792-83.331</f>
        <v>163.78100000000001</v>
      </c>
      <c r="K56" s="848">
        <f>136.694+110.061</f>
        <v>246.755</v>
      </c>
      <c r="L56" s="848">
        <f>87.187+141.503</f>
        <v>228.69</v>
      </c>
      <c r="M56" s="848">
        <v>153</v>
      </c>
      <c r="N56" s="849">
        <v>158.30000000000001</v>
      </c>
      <c r="O56" s="849">
        <v>159.1</v>
      </c>
      <c r="P56" s="849">
        <v>160.19999999999999</v>
      </c>
      <c r="Q56" s="309"/>
      <c r="R56" s="849">
        <v>155.601</v>
      </c>
      <c r="S56" s="849">
        <v>158.55741899999998</v>
      </c>
      <c r="T56" s="849">
        <v>161.88712479899996</v>
      </c>
      <c r="U56" s="309"/>
      <c r="V56" s="309"/>
      <c r="W56" s="309"/>
      <c r="X56" s="309"/>
      <c r="Y56" s="309"/>
    </row>
    <row r="57" spans="1:25" s="312" customFormat="1" ht="16.5" customHeight="1" x14ac:dyDescent="0.25">
      <c r="A57" s="860" t="s">
        <v>962</v>
      </c>
      <c r="B57" s="860" t="s">
        <v>1656</v>
      </c>
      <c r="C57" s="833"/>
      <c r="D57" s="849">
        <f>D52-D53-D54</f>
        <v>207.94100000000014</v>
      </c>
      <c r="E57" s="849">
        <f t="shared" ref="E57:I57" si="27">E52-E53-E54</f>
        <v>290.3540000000001</v>
      </c>
      <c r="F57" s="849">
        <f t="shared" si="27"/>
        <v>116.50300000000004</v>
      </c>
      <c r="G57" s="849">
        <f t="shared" si="27"/>
        <v>106.70900000000012</v>
      </c>
      <c r="H57" s="848">
        <f t="shared" si="27"/>
        <v>132.84899999999996</v>
      </c>
      <c r="I57" s="848">
        <f t="shared" si="27"/>
        <v>208.33699999999996</v>
      </c>
      <c r="J57" s="848">
        <f>J52-J53-J54</f>
        <v>189.208</v>
      </c>
      <c r="K57" s="848">
        <f>K52-K53-K54</f>
        <v>133.69099999999997</v>
      </c>
      <c r="L57" s="848">
        <f>L52-L53-L54</f>
        <v>76.22100000000006</v>
      </c>
      <c r="M57" s="848">
        <f t="shared" ref="M57:P57" si="28">M52-M53-M54</f>
        <v>147.54500000000004</v>
      </c>
      <c r="N57" s="849">
        <f t="shared" si="28"/>
        <v>139.77899999999997</v>
      </c>
      <c r="O57" s="849">
        <f t="shared" si="28"/>
        <v>139.84900000000005</v>
      </c>
      <c r="P57" s="849">
        <f t="shared" si="28"/>
        <v>139.84900000000002</v>
      </c>
      <c r="Q57" s="309"/>
      <c r="R57" s="849">
        <f t="shared" ref="R57:T57" si="29">R52-R53-R54</f>
        <v>139.77899999999997</v>
      </c>
      <c r="S57" s="849">
        <f t="shared" si="29"/>
        <v>139.84900000000005</v>
      </c>
      <c r="T57" s="849">
        <f t="shared" si="29"/>
        <v>139.84900000000002</v>
      </c>
      <c r="U57" s="309"/>
      <c r="V57" s="309"/>
      <c r="W57" s="309"/>
      <c r="X57" s="309"/>
      <c r="Y57" s="309"/>
    </row>
    <row r="58" spans="1:25" s="312" customFormat="1" ht="18" customHeight="1" x14ac:dyDescent="0.2">
      <c r="A58" s="865" t="s">
        <v>963</v>
      </c>
      <c r="B58" s="865" t="s">
        <v>1657</v>
      </c>
      <c r="C58" s="837" t="s">
        <v>930</v>
      </c>
      <c r="D58" s="849">
        <v>891.53700000000003</v>
      </c>
      <c r="E58" s="849">
        <v>916.245</v>
      </c>
      <c r="F58" s="851">
        <v>877.28399999999999</v>
      </c>
      <c r="G58" s="849">
        <v>1079.231</v>
      </c>
      <c r="H58" s="848">
        <v>1283.2670000000001</v>
      </c>
      <c r="I58" s="848">
        <v>1387.038</v>
      </c>
      <c r="J58" s="848">
        <v>1443.6010000000001</v>
      </c>
      <c r="K58" s="848">
        <v>1379.4069999999999</v>
      </c>
      <c r="L58" s="848">
        <v>1338.721</v>
      </c>
      <c r="M58" s="848">
        <f t="shared" ref="M58:P58" si="30">M59+M60</f>
        <v>1106.2400000000002</v>
      </c>
      <c r="N58" s="849">
        <f t="shared" si="30"/>
        <v>1137.1390000000001</v>
      </c>
      <c r="O58" s="849">
        <f t="shared" si="30"/>
        <v>1124.4100000000001</v>
      </c>
      <c r="P58" s="849">
        <f t="shared" si="30"/>
        <v>1080.24</v>
      </c>
      <c r="Q58" s="309"/>
      <c r="R58" s="849">
        <f t="shared" ref="R58:T58" si="31">R59+R60</f>
        <v>1137.1390000000001</v>
      </c>
      <c r="S58" s="849">
        <f t="shared" si="31"/>
        <v>1124.4100000000001</v>
      </c>
      <c r="T58" s="849">
        <f t="shared" si="31"/>
        <v>1080.24</v>
      </c>
      <c r="U58" s="309"/>
      <c r="V58" s="309"/>
      <c r="W58" s="309"/>
      <c r="X58" s="309"/>
      <c r="Y58" s="309"/>
    </row>
    <row r="59" spans="1:25" s="312" customFormat="1" ht="16.5" customHeight="1" x14ac:dyDescent="0.2">
      <c r="A59" s="838" t="s">
        <v>964</v>
      </c>
      <c r="B59" s="838" t="s">
        <v>1658</v>
      </c>
      <c r="C59" s="830" t="s">
        <v>933</v>
      </c>
      <c r="D59" s="849">
        <v>891.53700000000003</v>
      </c>
      <c r="E59" s="849">
        <v>916.245</v>
      </c>
      <c r="F59" s="851">
        <v>877.28399999999999</v>
      </c>
      <c r="G59" s="849">
        <v>1079.231</v>
      </c>
      <c r="H59" s="848">
        <v>1283.2670000000001</v>
      </c>
      <c r="I59" s="848">
        <v>1387.038</v>
      </c>
      <c r="J59" s="848">
        <v>1443.6010000000001</v>
      </c>
      <c r="K59" s="848">
        <v>1379.4069999999999</v>
      </c>
      <c r="L59" s="848">
        <v>1338.721</v>
      </c>
      <c r="M59" s="848">
        <v>1106.2400000000002</v>
      </c>
      <c r="N59" s="849">
        <v>1137.1390000000001</v>
      </c>
      <c r="O59" s="849">
        <v>1124.4100000000001</v>
      </c>
      <c r="P59" s="849">
        <v>1080.24</v>
      </c>
      <c r="Q59" s="309"/>
      <c r="R59" s="849">
        <v>1137.1390000000001</v>
      </c>
      <c r="S59" s="849">
        <v>1124.4100000000001</v>
      </c>
      <c r="T59" s="849">
        <v>1080.24</v>
      </c>
      <c r="U59" s="309"/>
      <c r="V59" s="309"/>
      <c r="W59" s="309"/>
      <c r="X59" s="309"/>
      <c r="Y59" s="309"/>
    </row>
    <row r="60" spans="1:25" s="312" customFormat="1" ht="16.5" customHeight="1" x14ac:dyDescent="0.2">
      <c r="A60" s="838" t="s">
        <v>965</v>
      </c>
      <c r="B60" s="838" t="s">
        <v>1659</v>
      </c>
      <c r="C60" s="830" t="s">
        <v>1632</v>
      </c>
      <c r="D60" s="849">
        <v>0</v>
      </c>
      <c r="E60" s="849">
        <v>0</v>
      </c>
      <c r="F60" s="849">
        <v>0</v>
      </c>
      <c r="G60" s="849">
        <v>0</v>
      </c>
      <c r="H60" s="848">
        <v>0</v>
      </c>
      <c r="I60" s="848">
        <v>0</v>
      </c>
      <c r="J60" s="848">
        <v>3.0000000000000001E-3</v>
      </c>
      <c r="K60" s="848">
        <v>0</v>
      </c>
      <c r="L60" s="848">
        <v>0</v>
      </c>
      <c r="M60" s="848">
        <v>0</v>
      </c>
      <c r="N60" s="848">
        <v>0</v>
      </c>
      <c r="O60" s="848">
        <v>0</v>
      </c>
      <c r="P60" s="848">
        <v>0</v>
      </c>
      <c r="Q60" s="309"/>
      <c r="R60" s="848">
        <v>0</v>
      </c>
      <c r="S60" s="848">
        <v>0</v>
      </c>
      <c r="T60" s="848">
        <v>0</v>
      </c>
      <c r="U60" s="309"/>
      <c r="V60" s="309"/>
      <c r="W60" s="309"/>
      <c r="X60" s="309"/>
      <c r="Y60" s="309"/>
    </row>
    <row r="61" spans="1:25" s="312" customFormat="1" ht="16.5" customHeight="1" x14ac:dyDescent="0.2">
      <c r="A61" s="865" t="s">
        <v>966</v>
      </c>
      <c r="B61" s="865" t="s">
        <v>1660</v>
      </c>
      <c r="C61" s="837" t="s">
        <v>967</v>
      </c>
      <c r="D61" s="849">
        <v>11147.477999999999</v>
      </c>
      <c r="E61" s="849">
        <v>12334.675999999999</v>
      </c>
      <c r="F61" s="849">
        <v>13234.156000000001</v>
      </c>
      <c r="G61" s="849">
        <v>13213.632</v>
      </c>
      <c r="H61" s="848">
        <v>13743.612999999999</v>
      </c>
      <c r="I61" s="848">
        <v>14097.725</v>
      </c>
      <c r="J61" s="848">
        <v>14500.93</v>
      </c>
      <c r="K61" s="848">
        <v>14960.204</v>
      </c>
      <c r="L61" s="848">
        <v>15519.974</v>
      </c>
      <c r="M61" s="848">
        <f t="shared" ref="M61:P61" si="32">M62+M77</f>
        <v>15709.323</v>
      </c>
      <c r="N61" s="849">
        <f t="shared" si="32"/>
        <v>16214.893</v>
      </c>
      <c r="O61" s="849">
        <f t="shared" si="32"/>
        <v>16792.186000000002</v>
      </c>
      <c r="P61" s="849">
        <f t="shared" si="32"/>
        <v>17391.920999999998</v>
      </c>
      <c r="Q61" s="309"/>
      <c r="R61" s="849">
        <f t="shared" ref="R61:T61" si="33">R62+R77</f>
        <v>16158.037</v>
      </c>
      <c r="S61" s="849">
        <f t="shared" si="33"/>
        <v>16747.226999999999</v>
      </c>
      <c r="T61" s="849">
        <f t="shared" si="33"/>
        <v>17345.888999999999</v>
      </c>
      <c r="U61" s="309"/>
      <c r="V61" s="309"/>
      <c r="W61" s="309"/>
      <c r="X61" s="309"/>
      <c r="Y61" s="309"/>
    </row>
    <row r="62" spans="1:25" ht="16.5" customHeight="1" x14ac:dyDescent="0.2">
      <c r="A62" s="860" t="s">
        <v>968</v>
      </c>
      <c r="B62" s="860" t="s">
        <v>1661</v>
      </c>
      <c r="C62" s="830" t="s">
        <v>969</v>
      </c>
      <c r="D62" s="849">
        <v>7987.7820000000002</v>
      </c>
      <c r="E62" s="849">
        <v>9049.2180000000008</v>
      </c>
      <c r="F62" s="849">
        <v>9752.2469999999994</v>
      </c>
      <c r="G62" s="849">
        <v>9820.7620000000006</v>
      </c>
      <c r="H62" s="848">
        <v>10242.102999999999</v>
      </c>
      <c r="I62" s="848">
        <v>10433.272000000001</v>
      </c>
      <c r="J62" s="848">
        <v>10670.954</v>
      </c>
      <c r="K62" s="848">
        <v>10967.34</v>
      </c>
      <c r="L62" s="848">
        <v>11281.543</v>
      </c>
      <c r="M62" s="848">
        <v>11438.075000000001</v>
      </c>
      <c r="N62" s="849">
        <v>11742.491</v>
      </c>
      <c r="O62" s="849">
        <v>12069.208000000001</v>
      </c>
      <c r="P62" s="849">
        <v>12383.766</v>
      </c>
      <c r="Q62" s="309"/>
      <c r="R62" s="849">
        <v>11692.491</v>
      </c>
      <c r="S62" s="849">
        <v>12022.208000000001</v>
      </c>
      <c r="T62" s="849">
        <v>12335.766</v>
      </c>
      <c r="U62" s="309"/>
      <c r="V62" s="309"/>
      <c r="W62" s="309"/>
      <c r="X62" s="309"/>
      <c r="Y62" s="309"/>
    </row>
    <row r="63" spans="1:25" ht="16.5" customHeight="1" x14ac:dyDescent="0.2">
      <c r="A63" s="861" t="s">
        <v>970</v>
      </c>
      <c r="B63" s="861" t="s">
        <v>1662</v>
      </c>
      <c r="C63" s="831"/>
      <c r="D63" s="849">
        <v>70.034000000000006</v>
      </c>
      <c r="E63" s="849">
        <v>56.390999999999998</v>
      </c>
      <c r="F63" s="849">
        <v>104.119</v>
      </c>
      <c r="G63" s="849">
        <v>72.921000000000006</v>
      </c>
      <c r="H63" s="848">
        <v>57.134</v>
      </c>
      <c r="I63" s="848">
        <v>38.021999999999998</v>
      </c>
      <c r="J63" s="848">
        <v>50.674999999999997</v>
      </c>
      <c r="K63" s="848">
        <v>39.174999999999997</v>
      </c>
      <c r="L63" s="848">
        <v>69.275999999999996</v>
      </c>
      <c r="M63" s="848">
        <v>72.171999999999997</v>
      </c>
      <c r="N63" s="849">
        <v>55.647000000000006</v>
      </c>
      <c r="O63" s="849">
        <v>58.862000000000002</v>
      </c>
      <c r="P63" s="849">
        <v>58.457999999999998</v>
      </c>
      <c r="Q63" s="309"/>
      <c r="R63" s="849">
        <v>55.647000000000006</v>
      </c>
      <c r="S63" s="849">
        <v>58.862000000000002</v>
      </c>
      <c r="T63" s="849">
        <v>58.457999999999998</v>
      </c>
      <c r="U63" s="309"/>
      <c r="V63" s="309"/>
      <c r="W63" s="309"/>
      <c r="X63" s="309"/>
      <c r="Y63" s="309"/>
    </row>
    <row r="64" spans="1:25" ht="16.5" customHeight="1" x14ac:dyDescent="0.2">
      <c r="A64" s="861" t="s">
        <v>971</v>
      </c>
      <c r="B64" s="861" t="s">
        <v>1663</v>
      </c>
      <c r="C64" s="831"/>
      <c r="D64" s="849">
        <v>246.61600000000001</v>
      </c>
      <c r="E64" s="849">
        <v>316.95999999999998</v>
      </c>
      <c r="F64" s="849">
        <v>338.78500000000003</v>
      </c>
      <c r="G64" s="849">
        <v>381.76400000000001</v>
      </c>
      <c r="H64" s="848">
        <v>428.45800000000003</v>
      </c>
      <c r="I64" s="848">
        <f>399.742+4.453</f>
        <v>404.19499999999999</v>
      </c>
      <c r="J64" s="848">
        <f>381.109+5.313</f>
        <v>386.42199999999997</v>
      </c>
      <c r="K64" s="848">
        <f>415.455+5.459</f>
        <v>420.91399999999999</v>
      </c>
      <c r="L64" s="848">
        <f>474.254+4.84</f>
        <v>479.09399999999999</v>
      </c>
      <c r="M64" s="848">
        <v>562.71299999999997</v>
      </c>
      <c r="N64" s="849">
        <v>605.37</v>
      </c>
      <c r="O64" s="849">
        <v>643.86699999999996</v>
      </c>
      <c r="P64" s="849">
        <v>684.00400000000002</v>
      </c>
      <c r="Q64" s="309"/>
      <c r="R64" s="849">
        <v>605.37</v>
      </c>
      <c r="S64" s="849">
        <v>643.86699999999996</v>
      </c>
      <c r="T64" s="849">
        <v>684.00400000000002</v>
      </c>
      <c r="U64" s="309"/>
      <c r="V64" s="309"/>
      <c r="W64" s="309"/>
      <c r="X64" s="309"/>
      <c r="Y64" s="309"/>
    </row>
    <row r="65" spans="1:25" ht="16.5" customHeight="1" x14ac:dyDescent="0.2">
      <c r="A65" s="861" t="s">
        <v>972</v>
      </c>
      <c r="B65" s="861" t="s">
        <v>1664</v>
      </c>
      <c r="C65" s="831"/>
      <c r="D65" s="849">
        <v>4531.942</v>
      </c>
      <c r="E65" s="849">
        <v>5034.7359999999999</v>
      </c>
      <c r="F65" s="849">
        <v>5244.51</v>
      </c>
      <c r="G65" s="849">
        <v>5390.7460000000001</v>
      </c>
      <c r="H65" s="848">
        <v>5639.5029999999997</v>
      </c>
      <c r="I65" s="848">
        <f>5893.823+157.393+1.815</f>
        <v>6053.0309999999999</v>
      </c>
      <c r="J65" s="848">
        <f>6240.862+173.728+1.904</f>
        <v>6416.4940000000006</v>
      </c>
      <c r="K65" s="848">
        <f>6414.203+182.59</f>
        <v>6596.7930000000006</v>
      </c>
      <c r="L65" s="848">
        <f>6485.127+344.68</f>
        <v>6829.8070000000007</v>
      </c>
      <c r="M65" s="848">
        <v>7132.6369999999997</v>
      </c>
      <c r="N65" s="849">
        <v>7356.7380000000003</v>
      </c>
      <c r="O65" s="849">
        <v>7587.6530000000002</v>
      </c>
      <c r="P65" s="849">
        <v>7773.8159999999998</v>
      </c>
      <c r="Q65" s="309"/>
      <c r="R65" s="849">
        <v>7306.7380000000003</v>
      </c>
      <c r="S65" s="849">
        <v>7540.6530000000002</v>
      </c>
      <c r="T65" s="849">
        <v>7725.8159999999998</v>
      </c>
      <c r="U65" s="309"/>
      <c r="V65" s="309"/>
      <c r="W65" s="309"/>
      <c r="X65" s="309"/>
      <c r="Y65" s="309"/>
    </row>
    <row r="66" spans="1:25" ht="16.5" customHeight="1" x14ac:dyDescent="0.2">
      <c r="A66" s="861" t="s">
        <v>973</v>
      </c>
      <c r="B66" s="861" t="s">
        <v>1665</v>
      </c>
      <c r="C66" s="831"/>
      <c r="D66" s="849">
        <v>66.120999999999995</v>
      </c>
      <c r="E66" s="849">
        <v>172.43</v>
      </c>
      <c r="F66" s="849">
        <v>150.339</v>
      </c>
      <c r="G66" s="849">
        <v>163.334</v>
      </c>
      <c r="H66" s="849">
        <v>175.773</v>
      </c>
      <c r="I66" s="849">
        <v>174.30799999999999</v>
      </c>
      <c r="J66" s="849">
        <v>154.721</v>
      </c>
      <c r="K66" s="849">
        <v>158.624</v>
      </c>
      <c r="L66" s="849">
        <v>171.63</v>
      </c>
      <c r="M66" s="849">
        <v>163.94500000000002</v>
      </c>
      <c r="N66" s="849">
        <v>147.47</v>
      </c>
      <c r="O66" s="849">
        <v>133.023</v>
      </c>
      <c r="P66" s="849">
        <v>129.69800000000001</v>
      </c>
      <c r="Q66" s="309"/>
      <c r="R66" s="849">
        <v>147.47</v>
      </c>
      <c r="S66" s="849">
        <v>133.023</v>
      </c>
      <c r="T66" s="849">
        <v>129.69800000000001</v>
      </c>
      <c r="U66" s="309"/>
      <c r="V66" s="309"/>
      <c r="W66" s="309"/>
      <c r="X66" s="309"/>
      <c r="Y66" s="309"/>
    </row>
    <row r="67" spans="1:25" ht="16.5" customHeight="1" x14ac:dyDescent="0.2">
      <c r="A67" s="861" t="s">
        <v>974</v>
      </c>
      <c r="B67" s="861" t="s">
        <v>1666</v>
      </c>
      <c r="C67" s="831"/>
      <c r="D67" s="849">
        <f>SUM(D68:D73)</f>
        <v>1086.5720000000001</v>
      </c>
      <c r="E67" s="849">
        <f t="shared" ref="E67:L67" si="34">SUM(E68:E73)</f>
        <v>1211.0309999999999</v>
      </c>
      <c r="F67" s="849">
        <f t="shared" si="34"/>
        <v>1364.961</v>
      </c>
      <c r="G67" s="849">
        <f t="shared" si="34"/>
        <v>1376.3489999999999</v>
      </c>
      <c r="H67" s="849">
        <f t="shared" si="34"/>
        <v>1381.508</v>
      </c>
      <c r="I67" s="849">
        <f t="shared" si="34"/>
        <v>1374.616</v>
      </c>
      <c r="J67" s="849">
        <f t="shared" si="34"/>
        <v>1362.7940000000001</v>
      </c>
      <c r="K67" s="849">
        <f t="shared" si="34"/>
        <v>1336.7550000000001</v>
      </c>
      <c r="L67" s="849">
        <f t="shared" si="34"/>
        <v>1320.384</v>
      </c>
      <c r="M67" s="849">
        <v>1374.201</v>
      </c>
      <c r="N67" s="849">
        <v>1398.1369999999999</v>
      </c>
      <c r="O67" s="849">
        <v>1416.077</v>
      </c>
      <c r="P67" s="849">
        <v>1442.317</v>
      </c>
      <c r="Q67" s="309"/>
      <c r="R67" s="849">
        <v>1398.1369999999999</v>
      </c>
      <c r="S67" s="849">
        <v>1416.077</v>
      </c>
      <c r="T67" s="849">
        <v>1442.317</v>
      </c>
      <c r="U67" s="309"/>
      <c r="V67" s="309"/>
      <c r="W67" s="309"/>
      <c r="X67" s="309"/>
      <c r="Y67" s="309"/>
    </row>
    <row r="68" spans="1:25" ht="16.5" customHeight="1" x14ac:dyDescent="0.2">
      <c r="A68" s="862" t="s">
        <v>975</v>
      </c>
      <c r="B68" s="862" t="s">
        <v>1667</v>
      </c>
      <c r="C68" s="831"/>
      <c r="D68" s="849">
        <v>268.47500000000002</v>
      </c>
      <c r="E68" s="849">
        <v>308.18900000000002</v>
      </c>
      <c r="F68" s="849">
        <v>318.96699999999998</v>
      </c>
      <c r="G68" s="849">
        <v>315.02</v>
      </c>
      <c r="H68" s="849">
        <v>316.46300000000002</v>
      </c>
      <c r="I68" s="849">
        <v>318.49400000000003</v>
      </c>
      <c r="J68" s="849">
        <v>319.09399999999999</v>
      </c>
      <c r="K68" s="849">
        <v>315.59899999999999</v>
      </c>
      <c r="L68" s="849">
        <v>312.83800000000002</v>
      </c>
      <c r="M68" s="849">
        <v>314.346</v>
      </c>
      <c r="N68" s="849">
        <v>315.99900000000002</v>
      </c>
      <c r="O68" s="849">
        <v>320.66399999999999</v>
      </c>
      <c r="P68" s="849">
        <v>326.02999999999997</v>
      </c>
      <c r="Q68" s="309"/>
      <c r="R68" s="849">
        <v>315.99900000000002</v>
      </c>
      <c r="S68" s="849">
        <v>320.66399999999999</v>
      </c>
      <c r="T68" s="849">
        <v>326.02999999999997</v>
      </c>
      <c r="U68" s="309"/>
      <c r="V68" s="309"/>
      <c r="W68" s="309"/>
      <c r="X68" s="309"/>
      <c r="Y68" s="309"/>
    </row>
    <row r="69" spans="1:25" ht="16.5" customHeight="1" x14ac:dyDescent="0.2">
      <c r="A69" s="862" t="s">
        <v>976</v>
      </c>
      <c r="B69" s="862" t="s">
        <v>1668</v>
      </c>
      <c r="C69" s="831"/>
      <c r="D69" s="849">
        <v>22.914999999999999</v>
      </c>
      <c r="E69" s="849">
        <v>8.7729999999999997</v>
      </c>
      <c r="F69" s="849">
        <v>8.8369999999999997</v>
      </c>
      <c r="G69" s="849">
        <v>8.8719999999999999</v>
      </c>
      <c r="H69" s="849">
        <v>8.8829999999999991</v>
      </c>
      <c r="I69" s="849">
        <v>8.9819999999999993</v>
      </c>
      <c r="J69" s="849">
        <v>35.101999999999997</v>
      </c>
      <c r="K69" s="849">
        <v>41.463000000000001</v>
      </c>
      <c r="L69" s="849">
        <v>43.89</v>
      </c>
      <c r="M69" s="849">
        <v>40.169000000000004</v>
      </c>
      <c r="N69" s="849">
        <v>44.574999999999996</v>
      </c>
      <c r="O69" s="849">
        <v>45.370999999999995</v>
      </c>
      <c r="P69" s="849">
        <v>46.167000000000002</v>
      </c>
      <c r="Q69" s="309"/>
      <c r="R69" s="849">
        <v>44.574999999999996</v>
      </c>
      <c r="S69" s="849">
        <v>45.370999999999995</v>
      </c>
      <c r="T69" s="849">
        <v>46.167000000000002</v>
      </c>
      <c r="U69" s="309"/>
      <c r="V69" s="309"/>
      <c r="W69" s="309"/>
      <c r="X69" s="309"/>
      <c r="Y69" s="309"/>
    </row>
    <row r="70" spans="1:25" ht="16.5" customHeight="1" x14ac:dyDescent="0.2">
      <c r="A70" s="862" t="s">
        <v>977</v>
      </c>
      <c r="B70" s="862" t="s">
        <v>1669</v>
      </c>
      <c r="C70" s="831"/>
      <c r="D70" s="849">
        <v>0</v>
      </c>
      <c r="E70" s="851">
        <v>268.46499999999997</v>
      </c>
      <c r="F70" s="851">
        <v>334.488</v>
      </c>
      <c r="G70" s="851">
        <v>352.24</v>
      </c>
      <c r="H70" s="851">
        <v>343.54300000000001</v>
      </c>
      <c r="I70" s="849">
        <v>349.31599999999997</v>
      </c>
      <c r="J70" s="849">
        <v>356.00200000000001</v>
      </c>
      <c r="K70" s="849">
        <v>355.279</v>
      </c>
      <c r="L70" s="849">
        <v>352.44400000000002</v>
      </c>
      <c r="M70" s="849">
        <v>362.858</v>
      </c>
      <c r="N70" s="849">
        <v>373.988</v>
      </c>
      <c r="O70" s="849">
        <v>380.12</v>
      </c>
      <c r="P70" s="849">
        <v>387.096</v>
      </c>
      <c r="Q70" s="309"/>
      <c r="R70" s="849">
        <v>373.988</v>
      </c>
      <c r="S70" s="849">
        <v>380.12</v>
      </c>
      <c r="T70" s="849">
        <v>387.096</v>
      </c>
      <c r="U70" s="309"/>
      <c r="V70" s="309"/>
      <c r="W70" s="309"/>
      <c r="X70" s="309"/>
      <c r="Y70" s="309"/>
    </row>
    <row r="71" spans="1:25" ht="16.5" customHeight="1" x14ac:dyDescent="0.2">
      <c r="A71" s="862" t="s">
        <v>978</v>
      </c>
      <c r="B71" s="862" t="s">
        <v>1670</v>
      </c>
      <c r="C71" s="831"/>
      <c r="D71" s="849">
        <v>247.214</v>
      </c>
      <c r="E71" s="851">
        <v>275.601</v>
      </c>
      <c r="F71" s="851">
        <v>322.87700000000001</v>
      </c>
      <c r="G71" s="851">
        <v>313.17500000000001</v>
      </c>
      <c r="H71" s="851">
        <v>308.98899999999998</v>
      </c>
      <c r="I71" s="849">
        <v>273.64400000000001</v>
      </c>
      <c r="J71" s="849">
        <v>244.45699999999999</v>
      </c>
      <c r="K71" s="849">
        <v>213.18100000000001</v>
      </c>
      <c r="L71" s="849">
        <v>182.68600000000001</v>
      </c>
      <c r="M71" s="849">
        <v>197.30799999999999</v>
      </c>
      <c r="N71" s="849">
        <v>156.78800000000001</v>
      </c>
      <c r="O71" s="849">
        <v>154.1</v>
      </c>
      <c r="P71" s="849">
        <v>151.16</v>
      </c>
      <c r="Q71" s="309"/>
      <c r="R71" s="849">
        <v>156.78800000000001</v>
      </c>
      <c r="S71" s="849">
        <v>154.1</v>
      </c>
      <c r="T71" s="849">
        <v>151.16</v>
      </c>
      <c r="U71" s="309"/>
      <c r="V71" s="309"/>
      <c r="W71" s="309"/>
      <c r="X71" s="309"/>
      <c r="Y71" s="309"/>
    </row>
    <row r="72" spans="1:25" ht="16.5" customHeight="1" x14ac:dyDescent="0.2">
      <c r="A72" s="862" t="s">
        <v>979</v>
      </c>
      <c r="B72" s="862" t="s">
        <v>1671</v>
      </c>
      <c r="C72" s="831"/>
      <c r="D72" s="849">
        <v>177.84200000000001</v>
      </c>
      <c r="E72" s="851">
        <v>184.589</v>
      </c>
      <c r="F72" s="851">
        <v>207.06299999999999</v>
      </c>
      <c r="G72" s="851">
        <v>210.56700000000001</v>
      </c>
      <c r="H72" s="851">
        <v>225.48699999999999</v>
      </c>
      <c r="I72" s="849">
        <v>232.52099999999999</v>
      </c>
      <c r="J72" s="849">
        <v>235.774</v>
      </c>
      <c r="K72" s="849">
        <v>231.63499999999999</v>
      </c>
      <c r="L72" s="849">
        <v>226.34299999999999</v>
      </c>
      <c r="M72" s="849">
        <v>259.25599999999997</v>
      </c>
      <c r="N72" s="849">
        <v>267.762</v>
      </c>
      <c r="O72" s="849">
        <v>279.39600000000002</v>
      </c>
      <c r="P72" s="849">
        <v>288.99599999999998</v>
      </c>
      <c r="Q72" s="309"/>
      <c r="R72" s="849">
        <v>267.762</v>
      </c>
      <c r="S72" s="849">
        <v>279.39600000000002</v>
      </c>
      <c r="T72" s="849">
        <v>288.99599999999998</v>
      </c>
      <c r="U72" s="309"/>
      <c r="V72" s="309"/>
      <c r="W72" s="309"/>
      <c r="X72" s="309"/>
      <c r="Y72" s="309"/>
    </row>
    <row r="73" spans="1:25" ht="16.5" customHeight="1" x14ac:dyDescent="0.2">
      <c r="A73" s="862" t="s">
        <v>102</v>
      </c>
      <c r="B73" s="862" t="s">
        <v>503</v>
      </c>
      <c r="C73" s="831"/>
      <c r="D73" s="849">
        <v>370.12599999999998</v>
      </c>
      <c r="E73" s="851">
        <v>165.41399999999999</v>
      </c>
      <c r="F73" s="851">
        <v>172.72900000000001</v>
      </c>
      <c r="G73" s="851">
        <v>176.47499999999999</v>
      </c>
      <c r="H73" s="851">
        <v>178.143</v>
      </c>
      <c r="I73" s="849">
        <v>191.65899999999999</v>
      </c>
      <c r="J73" s="849">
        <v>172.36500000000001</v>
      </c>
      <c r="K73" s="849">
        <v>179.59800000000001</v>
      </c>
      <c r="L73" s="849">
        <v>202.18299999999999</v>
      </c>
      <c r="M73" s="849">
        <f t="shared" ref="M73" si="35">M67-SUM(M68:M72)</f>
        <v>200.26400000000012</v>
      </c>
      <c r="N73" s="849">
        <f t="shared" ref="N73:P73" si="36">N67-SUM(N68:N72)</f>
        <v>239.02499999999986</v>
      </c>
      <c r="O73" s="849">
        <f t="shared" si="36"/>
        <v>236.42599999999993</v>
      </c>
      <c r="P73" s="849">
        <f t="shared" si="36"/>
        <v>242.86799999999994</v>
      </c>
      <c r="Q73" s="309"/>
      <c r="R73" s="849">
        <f t="shared" ref="R73:T73" si="37">R67-SUM(R68:R72)</f>
        <v>239.02499999999986</v>
      </c>
      <c r="S73" s="849">
        <f t="shared" si="37"/>
        <v>236.42599999999993</v>
      </c>
      <c r="T73" s="849">
        <f t="shared" si="37"/>
        <v>242.86799999999994</v>
      </c>
      <c r="U73" s="309"/>
      <c r="V73" s="309"/>
      <c r="W73" s="309"/>
      <c r="X73" s="309"/>
      <c r="Y73" s="309"/>
    </row>
    <row r="74" spans="1:25" ht="16.5" customHeight="1" x14ac:dyDescent="0.2">
      <c r="A74" s="861" t="s">
        <v>980</v>
      </c>
      <c r="B74" s="861" t="s">
        <v>1717</v>
      </c>
      <c r="C74" s="831" t="s">
        <v>294</v>
      </c>
      <c r="D74" s="849">
        <f>1208.545</f>
        <v>1208.5450000000001</v>
      </c>
      <c r="E74" s="849">
        <f>1399.85</f>
        <v>1399.85</v>
      </c>
      <c r="F74" s="849">
        <f>1564.23</f>
        <v>1564.23</v>
      </c>
      <c r="G74" s="849">
        <f>1446.947</f>
        <v>1446.9469999999999</v>
      </c>
      <c r="H74" s="849">
        <f>1599.291</f>
        <v>1599.2909999999999</v>
      </c>
      <c r="I74" s="849">
        <f>1541.466</f>
        <v>1541.4659999999999</v>
      </c>
      <c r="J74" s="849">
        <v>1447.056</v>
      </c>
      <c r="K74" s="849">
        <f>1582.23+0.002</f>
        <v>1582.232</v>
      </c>
      <c r="L74" s="849">
        <v>1626.5160000000001</v>
      </c>
      <c r="M74" s="849">
        <f t="shared" ref="M74:P74" si="38">M75+M76</f>
        <v>1451.213</v>
      </c>
      <c r="N74" s="849">
        <f t="shared" si="38"/>
        <v>1481.6899999999998</v>
      </c>
      <c r="O74" s="849">
        <f t="shared" si="38"/>
        <v>1533.4259999999999</v>
      </c>
      <c r="P74" s="849">
        <f t="shared" si="38"/>
        <v>1599.173</v>
      </c>
      <c r="Q74" s="309"/>
      <c r="R74" s="849">
        <f t="shared" ref="R74:T74" si="39">R75+R76</f>
        <v>1481.6899999999998</v>
      </c>
      <c r="S74" s="849">
        <f t="shared" si="39"/>
        <v>1533.4259999999999</v>
      </c>
      <c r="T74" s="849">
        <f t="shared" si="39"/>
        <v>1599.173</v>
      </c>
      <c r="U74" s="309"/>
      <c r="V74" s="309"/>
      <c r="W74" s="309"/>
      <c r="X74" s="309"/>
      <c r="Y74" s="309"/>
    </row>
    <row r="75" spans="1:25" ht="16.5" customHeight="1" x14ac:dyDescent="0.2">
      <c r="A75" s="863" t="s">
        <v>981</v>
      </c>
      <c r="B75" s="863" t="s">
        <v>1672</v>
      </c>
      <c r="C75" s="831"/>
      <c r="D75" s="849">
        <v>211.08799999999999</v>
      </c>
      <c r="E75" s="849">
        <v>235.84200000000001</v>
      </c>
      <c r="F75" s="849">
        <v>221.084</v>
      </c>
      <c r="G75" s="849">
        <v>237.16800000000001</v>
      </c>
      <c r="H75" s="849">
        <v>238.774</v>
      </c>
      <c r="I75" s="849">
        <v>262.14800000000002</v>
      </c>
      <c r="J75" s="849">
        <v>232.90899999999999</v>
      </c>
      <c r="K75" s="849">
        <v>227.756</v>
      </c>
      <c r="L75" s="849">
        <v>231.49600000000001</v>
      </c>
      <c r="M75" s="849">
        <v>224.91499999999999</v>
      </c>
      <c r="N75" s="849">
        <v>239.82</v>
      </c>
      <c r="O75" s="849">
        <v>248.25300000000001</v>
      </c>
      <c r="P75" s="849">
        <v>259.05799999999999</v>
      </c>
      <c r="Q75" s="309"/>
      <c r="R75" s="849">
        <v>239.82</v>
      </c>
      <c r="S75" s="849">
        <v>248.25300000000001</v>
      </c>
      <c r="T75" s="849">
        <v>259.05799999999999</v>
      </c>
      <c r="U75" s="309"/>
      <c r="V75" s="309"/>
      <c r="W75" s="309"/>
      <c r="X75" s="309"/>
      <c r="Y75" s="309"/>
    </row>
    <row r="76" spans="1:25" ht="16.5" customHeight="1" x14ac:dyDescent="0.2">
      <c r="A76" s="863" t="s">
        <v>982</v>
      </c>
      <c r="B76" s="863" t="s">
        <v>1673</v>
      </c>
      <c r="C76" s="831"/>
      <c r="D76" s="849">
        <v>997.45699999999999</v>
      </c>
      <c r="E76" s="849">
        <v>1162.3820000000001</v>
      </c>
      <c r="F76" s="849">
        <v>1341.2249999999999</v>
      </c>
      <c r="G76" s="849">
        <v>1207.549</v>
      </c>
      <c r="H76" s="849">
        <v>1358.204</v>
      </c>
      <c r="I76" s="849">
        <v>1276.828</v>
      </c>
      <c r="J76" s="849">
        <v>1211.5350000000001</v>
      </c>
      <c r="K76" s="849">
        <v>1351.6279999999999</v>
      </c>
      <c r="L76" s="849">
        <v>1392.1</v>
      </c>
      <c r="M76" s="849">
        <v>1226.298</v>
      </c>
      <c r="N76" s="849">
        <v>1241.8699999999999</v>
      </c>
      <c r="O76" s="849">
        <v>1285.173</v>
      </c>
      <c r="P76" s="849">
        <v>1340.115</v>
      </c>
      <c r="Q76" s="309"/>
      <c r="R76" s="849">
        <v>1241.8699999999999</v>
      </c>
      <c r="S76" s="849">
        <v>1285.173</v>
      </c>
      <c r="T76" s="849">
        <v>1340.115</v>
      </c>
      <c r="U76" s="309"/>
      <c r="V76" s="309"/>
      <c r="W76" s="309"/>
      <c r="X76" s="309"/>
      <c r="Y76" s="309"/>
    </row>
    <row r="77" spans="1:25" ht="16.5" customHeight="1" x14ac:dyDescent="0.2">
      <c r="A77" s="864" t="s">
        <v>983</v>
      </c>
      <c r="B77" s="864" t="s">
        <v>1674</v>
      </c>
      <c r="C77" s="830" t="s">
        <v>1633</v>
      </c>
      <c r="D77" s="848">
        <v>3159.6959999999999</v>
      </c>
      <c r="E77" s="848">
        <v>3285.4580000000001</v>
      </c>
      <c r="F77" s="848">
        <v>3481.9090000000001</v>
      </c>
      <c r="G77" s="848">
        <v>3392.87</v>
      </c>
      <c r="H77" s="849">
        <v>3501.51</v>
      </c>
      <c r="I77" s="849">
        <v>3664.453</v>
      </c>
      <c r="J77" s="849">
        <v>3829.9760000000001</v>
      </c>
      <c r="K77" s="849">
        <v>3992.864</v>
      </c>
      <c r="L77" s="849">
        <v>4238.4309999999996</v>
      </c>
      <c r="M77" s="849">
        <v>4271.2479999999996</v>
      </c>
      <c r="N77" s="849">
        <v>4472.402</v>
      </c>
      <c r="O77" s="849">
        <v>4722.9780000000001</v>
      </c>
      <c r="P77" s="849">
        <v>5008.1549999999997</v>
      </c>
      <c r="Q77" s="309"/>
      <c r="R77" s="849">
        <v>4465.5460000000003</v>
      </c>
      <c r="S77" s="849">
        <v>4725.0190000000002</v>
      </c>
      <c r="T77" s="849">
        <v>5010.1229999999996</v>
      </c>
      <c r="U77" s="309"/>
      <c r="V77" s="309"/>
      <c r="W77" s="309"/>
      <c r="X77" s="309"/>
      <c r="Y77" s="309"/>
    </row>
    <row r="78" spans="1:25" s="312" customFormat="1" ht="16.5" customHeight="1" x14ac:dyDescent="0.2">
      <c r="A78" s="865" t="s">
        <v>939</v>
      </c>
      <c r="B78" s="865" t="s">
        <v>1675</v>
      </c>
      <c r="C78" s="837" t="s">
        <v>940</v>
      </c>
      <c r="D78" s="848">
        <v>985.37699999999995</v>
      </c>
      <c r="E78" s="848">
        <v>1140.5940000000001</v>
      </c>
      <c r="F78" s="848">
        <v>1053.2</v>
      </c>
      <c r="G78" s="848">
        <v>965.41200000000003</v>
      </c>
      <c r="H78" s="848">
        <v>1053.2090000000001</v>
      </c>
      <c r="I78" s="848">
        <v>1205.778</v>
      </c>
      <c r="J78" s="848">
        <v>1190.559</v>
      </c>
      <c r="K78" s="848">
        <v>1497.921</v>
      </c>
      <c r="L78" s="848">
        <v>1373.414</v>
      </c>
      <c r="M78" s="848">
        <f>1881.933-97.952</f>
        <v>1783.981</v>
      </c>
      <c r="N78" s="849">
        <f>1898.485-111.493</f>
        <v>1786.992</v>
      </c>
      <c r="O78" s="849">
        <f>2357.453-200.249</f>
        <v>2157.2040000000002</v>
      </c>
      <c r="P78" s="849">
        <f>2528.946-296.42</f>
        <v>2232.5259999999998</v>
      </c>
      <c r="Q78" s="309"/>
      <c r="R78" s="849">
        <v>1744.7993599999998</v>
      </c>
      <c r="S78" s="849">
        <v>2118.2797508400008</v>
      </c>
      <c r="T78" s="849">
        <v>2167.9969336076438</v>
      </c>
      <c r="U78" s="309"/>
      <c r="V78" s="309"/>
      <c r="W78" s="309"/>
      <c r="X78" s="309"/>
      <c r="Y78" s="309"/>
    </row>
    <row r="79" spans="1:25" s="312" customFormat="1" ht="16.5" customHeight="1" x14ac:dyDescent="0.2">
      <c r="A79" s="860" t="s">
        <v>984</v>
      </c>
      <c r="B79" s="860" t="s">
        <v>1684</v>
      </c>
      <c r="C79" s="831" t="s">
        <v>294</v>
      </c>
      <c r="D79" s="848">
        <v>519.57100000000003</v>
      </c>
      <c r="E79" s="848">
        <v>612.11599999999999</v>
      </c>
      <c r="F79" s="848">
        <v>520.27</v>
      </c>
      <c r="G79" s="848">
        <v>582.13900000000001</v>
      </c>
      <c r="H79" s="849">
        <f>620.761+19.55</f>
        <v>640.31099999999992</v>
      </c>
      <c r="I79" s="849">
        <f>732.963-19.554</f>
        <v>713.40899999999999</v>
      </c>
      <c r="J79" s="849">
        <f>683.409-87.444</f>
        <v>595.96500000000003</v>
      </c>
      <c r="K79" s="849">
        <f>599.458+38.025</f>
        <v>637.48299999999995</v>
      </c>
      <c r="L79" s="849">
        <f>634.796+49.4</f>
        <v>684.19600000000003</v>
      </c>
      <c r="M79" s="849">
        <v>657.29399999999998</v>
      </c>
      <c r="N79" s="849">
        <v>788.12199999999996</v>
      </c>
      <c r="O79" s="849">
        <v>845.14</v>
      </c>
      <c r="P79" s="849">
        <v>875.0619999999999</v>
      </c>
      <c r="Q79" s="309"/>
      <c r="R79" s="849">
        <v>788.12199999999996</v>
      </c>
      <c r="S79" s="849">
        <v>845.14</v>
      </c>
      <c r="T79" s="849">
        <v>875.0619999999999</v>
      </c>
      <c r="U79" s="309"/>
      <c r="V79" s="309"/>
      <c r="W79" s="309"/>
      <c r="X79" s="309"/>
      <c r="Y79" s="309"/>
    </row>
    <row r="80" spans="1:25" s="312" customFormat="1" ht="16.5" customHeight="1" x14ac:dyDescent="0.2">
      <c r="A80" s="860" t="s">
        <v>985</v>
      </c>
      <c r="B80" s="860" t="s">
        <v>1676</v>
      </c>
      <c r="C80" s="831"/>
      <c r="D80" s="848">
        <v>49.18</v>
      </c>
      <c r="E80" s="848">
        <v>55.18</v>
      </c>
      <c r="F80" s="848">
        <v>44.145000000000003</v>
      </c>
      <c r="G80" s="848">
        <v>41.97</v>
      </c>
      <c r="H80" s="849">
        <v>44.695</v>
      </c>
      <c r="I80" s="849">
        <v>46.707000000000001</v>
      </c>
      <c r="J80" s="849">
        <v>52.192999999999998</v>
      </c>
      <c r="K80" s="849">
        <f>56.941+0.029</f>
        <v>56.970000000000006</v>
      </c>
      <c r="L80" s="849">
        <v>61.631</v>
      </c>
      <c r="M80" s="849">
        <v>66.457999999999998</v>
      </c>
      <c r="N80" s="849">
        <v>68.536999999999992</v>
      </c>
      <c r="O80" s="849">
        <v>72.888999999999996</v>
      </c>
      <c r="P80" s="849">
        <v>79.009</v>
      </c>
      <c r="Q80" s="309"/>
      <c r="R80" s="849">
        <v>68.536999999999992</v>
      </c>
      <c r="S80" s="849">
        <v>72.888999999999996</v>
      </c>
      <c r="T80" s="849">
        <v>79.009</v>
      </c>
      <c r="U80" s="309"/>
      <c r="V80" s="309"/>
      <c r="W80" s="309"/>
      <c r="X80" s="309"/>
      <c r="Y80" s="309"/>
    </row>
    <row r="81" spans="1:25" s="312" customFormat="1" ht="16.5" customHeight="1" x14ac:dyDescent="0.2">
      <c r="A81" s="869" t="s">
        <v>986</v>
      </c>
      <c r="B81" s="869" t="s">
        <v>1677</v>
      </c>
      <c r="C81" s="829" t="s">
        <v>1636</v>
      </c>
      <c r="D81" s="855">
        <f>D82+D86</f>
        <v>2862.7339999999999</v>
      </c>
      <c r="E81" s="855">
        <f t="shared" ref="E81:P81" si="40">E82+E86</f>
        <v>3677.047</v>
      </c>
      <c r="F81" s="855">
        <f t="shared" si="40"/>
        <v>3044.8850000000002</v>
      </c>
      <c r="G81" s="855">
        <f t="shared" si="40"/>
        <v>3171.741</v>
      </c>
      <c r="H81" s="847">
        <f t="shared" si="40"/>
        <v>2892.5819999999999</v>
      </c>
      <c r="I81" s="847">
        <f t="shared" si="40"/>
        <v>2932.5709999999999</v>
      </c>
      <c r="J81" s="847">
        <f t="shared" si="40"/>
        <v>3227.069</v>
      </c>
      <c r="K81" s="847">
        <f t="shared" si="40"/>
        <v>5773.5310000000009</v>
      </c>
      <c r="L81" s="847">
        <f t="shared" si="40"/>
        <v>3178.1680000000001</v>
      </c>
      <c r="M81" s="847">
        <f t="shared" si="40"/>
        <v>3156.739</v>
      </c>
      <c r="N81" s="847">
        <f t="shared" si="40"/>
        <v>2671.32</v>
      </c>
      <c r="O81" s="847">
        <f t="shared" si="40"/>
        <v>2706.8850000000002</v>
      </c>
      <c r="P81" s="847">
        <f t="shared" si="40"/>
        <v>3125.3619999999996</v>
      </c>
      <c r="Q81" s="309"/>
      <c r="R81" s="847">
        <f t="shared" ref="R81:T81" si="41">R82+R86</f>
        <v>2418.3652800000009</v>
      </c>
      <c r="S81" s="847">
        <f t="shared" si="41"/>
        <v>2749.9150838400001</v>
      </c>
      <c r="T81" s="847">
        <f t="shared" si="41"/>
        <v>2856.6649169481598</v>
      </c>
      <c r="U81" s="309"/>
      <c r="V81" s="309"/>
      <c r="W81" s="309"/>
      <c r="X81" s="309"/>
      <c r="Y81" s="309"/>
    </row>
    <row r="82" spans="1:25" ht="16.5" customHeight="1" x14ac:dyDescent="0.2">
      <c r="A82" s="868" t="s">
        <v>987</v>
      </c>
      <c r="B82" s="868" t="s">
        <v>1678</v>
      </c>
      <c r="C82" s="830" t="s">
        <v>1635</v>
      </c>
      <c r="D82" s="848">
        <f>SUM(D83:D85)</f>
        <v>2231.2579999999998</v>
      </c>
      <c r="E82" s="848">
        <f t="shared" ref="E82:G82" si="42">SUM(E83:E85)</f>
        <v>2569.4960000000001</v>
      </c>
      <c r="F82" s="848">
        <f t="shared" si="42"/>
        <v>2577.0230000000001</v>
      </c>
      <c r="G82" s="848">
        <f t="shared" si="42"/>
        <v>2629.203</v>
      </c>
      <c r="H82" s="848">
        <v>2489.748</v>
      </c>
      <c r="I82" s="848">
        <v>2552.8429999999998</v>
      </c>
      <c r="J82" s="848">
        <v>2841.59</v>
      </c>
      <c r="K82" s="848">
        <v>5055.8500000000004</v>
      </c>
      <c r="L82" s="848">
        <v>2805.0509999999999</v>
      </c>
      <c r="M82" s="848">
        <f t="shared" ref="M82:P82" si="43">M83+M84+M85</f>
        <v>2830.663</v>
      </c>
      <c r="N82" s="849">
        <f t="shared" si="43"/>
        <v>2396.9830000000002</v>
      </c>
      <c r="O82" s="849">
        <f t="shared" si="43"/>
        <v>2433.893</v>
      </c>
      <c r="P82" s="849">
        <f t="shared" si="43"/>
        <v>2856.6239999999998</v>
      </c>
      <c r="Q82" s="309"/>
      <c r="R82" s="849">
        <f t="shared" ref="R82:T82" si="44">R83+R84+R85</f>
        <v>2228.3139030000007</v>
      </c>
      <c r="S82" s="849">
        <f t="shared" si="44"/>
        <v>2504.9809068590002</v>
      </c>
      <c r="T82" s="849">
        <f t="shared" si="44"/>
        <v>2586.833095295091</v>
      </c>
      <c r="U82" s="309"/>
      <c r="V82" s="309"/>
      <c r="W82" s="309"/>
      <c r="X82" s="309"/>
      <c r="Y82" s="309"/>
    </row>
    <row r="83" spans="1:25" ht="16.5" customHeight="1" x14ac:dyDescent="0.2">
      <c r="A83" s="860" t="s">
        <v>988</v>
      </c>
      <c r="B83" s="860" t="s">
        <v>1679</v>
      </c>
      <c r="C83" s="830" t="s">
        <v>1159</v>
      </c>
      <c r="D83" s="848">
        <v>2307.6439999999998</v>
      </c>
      <c r="E83" s="848">
        <v>2486.96</v>
      </c>
      <c r="F83" s="848">
        <v>2441.0880000000002</v>
      </c>
      <c r="G83" s="848">
        <v>2691.759</v>
      </c>
      <c r="H83" s="848">
        <v>2435.8110000000001</v>
      </c>
      <c r="I83" s="848">
        <v>2466.08</v>
      </c>
      <c r="J83" s="848">
        <v>3023.41</v>
      </c>
      <c r="K83" s="848">
        <v>4950.6450000000004</v>
      </c>
      <c r="L83" s="848">
        <v>2598.2420000000002</v>
      </c>
      <c r="M83" s="848">
        <v>2761.8669999999997</v>
      </c>
      <c r="N83" s="849">
        <v>2408.7780000000002</v>
      </c>
      <c r="O83" s="849">
        <v>2437.864</v>
      </c>
      <c r="P83" s="849">
        <v>2860.5949999999998</v>
      </c>
      <c r="Q83" s="309"/>
      <c r="R83" s="849">
        <v>2240.1089030000007</v>
      </c>
      <c r="S83" s="849">
        <v>2508.9519068590002</v>
      </c>
      <c r="T83" s="849">
        <v>2590.804095295091</v>
      </c>
      <c r="U83" s="309"/>
      <c r="V83" s="309"/>
      <c r="W83" s="309"/>
      <c r="X83" s="309"/>
      <c r="Y83" s="309"/>
    </row>
    <row r="84" spans="1:25" ht="16.5" customHeight="1" x14ac:dyDescent="0.2">
      <c r="A84" s="860" t="s">
        <v>989</v>
      </c>
      <c r="B84" s="860" t="s">
        <v>1680</v>
      </c>
      <c r="C84" s="830" t="s">
        <v>1634</v>
      </c>
      <c r="D84" s="848">
        <v>109.414</v>
      </c>
      <c r="E84" s="849">
        <v>52.887</v>
      </c>
      <c r="F84" s="849">
        <v>94.768000000000001</v>
      </c>
      <c r="G84" s="849">
        <v>2.2530000000000001</v>
      </c>
      <c r="H84" s="848">
        <v>19.579999999999998</v>
      </c>
      <c r="I84" s="848">
        <v>60.564</v>
      </c>
      <c r="J84" s="848">
        <v>47.12</v>
      </c>
      <c r="K84" s="848">
        <v>6.43</v>
      </c>
      <c r="L84" s="848">
        <v>21.318999999999999</v>
      </c>
      <c r="M84" s="848">
        <v>29.242000000000001</v>
      </c>
      <c r="N84" s="849">
        <v>29.585999999999999</v>
      </c>
      <c r="O84" s="849">
        <v>35.564</v>
      </c>
      <c r="P84" s="849">
        <v>35.564</v>
      </c>
      <c r="Q84" s="309"/>
      <c r="R84" s="849">
        <v>29.585999999999999</v>
      </c>
      <c r="S84" s="849">
        <v>35.564</v>
      </c>
      <c r="T84" s="849">
        <v>35.564</v>
      </c>
      <c r="U84" s="309"/>
      <c r="V84" s="309"/>
      <c r="W84" s="309"/>
      <c r="X84" s="309"/>
      <c r="Y84" s="309"/>
    </row>
    <row r="85" spans="1:25" ht="16.5" customHeight="1" x14ac:dyDescent="0.2">
      <c r="A85" s="860" t="s">
        <v>990</v>
      </c>
      <c r="B85" s="860" t="s">
        <v>1681</v>
      </c>
      <c r="C85" s="830" t="s">
        <v>769</v>
      </c>
      <c r="D85" s="849">
        <v>-185.8</v>
      </c>
      <c r="E85" s="849">
        <v>29.649000000000001</v>
      </c>
      <c r="F85" s="849">
        <v>41.167000000000002</v>
      </c>
      <c r="G85" s="849">
        <v>-64.808999999999997</v>
      </c>
      <c r="H85" s="849">
        <v>34.356999999999999</v>
      </c>
      <c r="I85" s="849">
        <v>26.199000000000002</v>
      </c>
      <c r="J85" s="849">
        <v>-228.94</v>
      </c>
      <c r="K85" s="849">
        <v>98.775000000000006</v>
      </c>
      <c r="L85" s="849">
        <v>185.49</v>
      </c>
      <c r="M85" s="849">
        <v>39.554000000000002</v>
      </c>
      <c r="N85" s="849">
        <v>-41.381</v>
      </c>
      <c r="O85" s="849">
        <v>-39.534999999999997</v>
      </c>
      <c r="P85" s="849">
        <v>-39.534999999999997</v>
      </c>
      <c r="Q85" s="309"/>
      <c r="R85" s="849">
        <v>-41.381</v>
      </c>
      <c r="S85" s="849">
        <v>-39.534999999999997</v>
      </c>
      <c r="T85" s="849">
        <v>-39.534999999999997</v>
      </c>
      <c r="U85" s="309"/>
      <c r="V85" s="309"/>
      <c r="W85" s="309"/>
      <c r="X85" s="309"/>
      <c r="Y85" s="309"/>
    </row>
    <row r="86" spans="1:25" ht="16.5" customHeight="1" x14ac:dyDescent="0.2">
      <c r="A86" s="868" t="s">
        <v>941</v>
      </c>
      <c r="B86" s="868" t="s">
        <v>1682</v>
      </c>
      <c r="C86" s="830" t="s">
        <v>942</v>
      </c>
      <c r="D86" s="849">
        <f t="shared" ref="D86:G86" si="45">D87</f>
        <v>631.476</v>
      </c>
      <c r="E86" s="849">
        <f t="shared" si="45"/>
        <v>1107.5509999999999</v>
      </c>
      <c r="F86" s="849">
        <f t="shared" si="45"/>
        <v>467.86200000000002</v>
      </c>
      <c r="G86" s="849">
        <f t="shared" si="45"/>
        <v>542.53800000000001</v>
      </c>
      <c r="H86" s="849">
        <f>H87</f>
        <v>402.834</v>
      </c>
      <c r="I86" s="849">
        <f>I87</f>
        <v>379.72800000000001</v>
      </c>
      <c r="J86" s="849">
        <f>J87</f>
        <v>385.47899999999998</v>
      </c>
      <c r="K86" s="849">
        <f>K87</f>
        <v>717.68100000000004</v>
      </c>
      <c r="L86" s="849">
        <f>L87</f>
        <v>373.11700000000002</v>
      </c>
      <c r="M86" s="849">
        <f t="shared" ref="M86:P86" si="46">M87</f>
        <v>326.07600000000002</v>
      </c>
      <c r="N86" s="849">
        <f t="shared" si="46"/>
        <v>274.33699999999999</v>
      </c>
      <c r="O86" s="849">
        <f t="shared" si="46"/>
        <v>272.99199999999996</v>
      </c>
      <c r="P86" s="849">
        <f t="shared" si="46"/>
        <v>268.73799999999994</v>
      </c>
      <c r="Q86" s="309"/>
      <c r="R86" s="849">
        <f t="shared" ref="R86:T86" si="47">R87</f>
        <v>190.05137700000003</v>
      </c>
      <c r="S86" s="849">
        <f t="shared" si="47"/>
        <v>244.93417698099989</v>
      </c>
      <c r="T86" s="849">
        <f t="shared" si="47"/>
        <v>269.83182165306886</v>
      </c>
      <c r="U86" s="309"/>
      <c r="V86" s="309"/>
      <c r="W86" s="309"/>
      <c r="X86" s="309"/>
      <c r="Y86" s="309"/>
    </row>
    <row r="87" spans="1:25" ht="16.5" customHeight="1" x14ac:dyDescent="0.2">
      <c r="A87" s="860" t="s">
        <v>991</v>
      </c>
      <c r="B87" s="860" t="s">
        <v>1683</v>
      </c>
      <c r="C87" s="839" t="s">
        <v>992</v>
      </c>
      <c r="D87" s="849">
        <v>631.476</v>
      </c>
      <c r="E87" s="851">
        <v>1107.5509999999999</v>
      </c>
      <c r="F87" s="851">
        <v>467.86200000000002</v>
      </c>
      <c r="G87" s="851">
        <v>542.53800000000001</v>
      </c>
      <c r="H87" s="851">
        <v>402.834</v>
      </c>
      <c r="I87" s="849">
        <v>379.72800000000001</v>
      </c>
      <c r="J87" s="849">
        <v>385.47899999999998</v>
      </c>
      <c r="K87" s="849">
        <v>717.68100000000004</v>
      </c>
      <c r="L87" s="849">
        <v>373.11700000000002</v>
      </c>
      <c r="M87" s="849">
        <v>326.07600000000002</v>
      </c>
      <c r="N87" s="849">
        <v>274.33699999999999</v>
      </c>
      <c r="O87" s="849">
        <v>272.99199999999996</v>
      </c>
      <c r="P87" s="849">
        <v>268.73799999999994</v>
      </c>
      <c r="Q87" s="309"/>
      <c r="R87" s="849">
        <v>190.05137700000003</v>
      </c>
      <c r="S87" s="849">
        <v>244.93417698099989</v>
      </c>
      <c r="T87" s="849">
        <v>269.83182165306886</v>
      </c>
      <c r="U87" s="309"/>
      <c r="V87" s="309"/>
      <c r="W87" s="309"/>
      <c r="X87" s="309"/>
      <c r="Y87" s="309"/>
    </row>
    <row r="88" spans="1:25" ht="16.5" customHeight="1" x14ac:dyDescent="0.2">
      <c r="A88" s="821" t="s">
        <v>993</v>
      </c>
      <c r="B88" s="821" t="s">
        <v>1641</v>
      </c>
      <c r="C88" s="840" t="s">
        <v>1638</v>
      </c>
      <c r="D88" s="823">
        <f t="shared" ref="D88:P88" si="48">D7-D42</f>
        <v>-1662.8050000000003</v>
      </c>
      <c r="E88" s="823">
        <f t="shared" si="48"/>
        <v>-4996.4929999999986</v>
      </c>
      <c r="F88" s="823">
        <f t="shared" si="48"/>
        <v>-5058.107</v>
      </c>
      <c r="G88" s="823">
        <f t="shared" si="48"/>
        <v>-3020.6909999999989</v>
      </c>
      <c r="H88" s="823">
        <f t="shared" si="48"/>
        <v>-3158.8849999999984</v>
      </c>
      <c r="I88" s="856">
        <f>I7-I42</f>
        <v>-2017.4120000000003</v>
      </c>
      <c r="J88" s="857">
        <f t="shared" si="48"/>
        <v>-2056.1159999999982</v>
      </c>
      <c r="K88" s="856">
        <f>K7-K42</f>
        <v>-2159.5899999999965</v>
      </c>
      <c r="L88" s="856">
        <f t="shared" si="48"/>
        <v>-1361.5369999999966</v>
      </c>
      <c r="M88" s="856">
        <f t="shared" si="48"/>
        <v>-1048.7959999999948</v>
      </c>
      <c r="N88" s="856">
        <f t="shared" si="48"/>
        <v>-446.75500000000466</v>
      </c>
      <c r="O88" s="856">
        <f t="shared" si="48"/>
        <v>0</v>
      </c>
      <c r="P88" s="856">
        <f t="shared" si="48"/>
        <v>0</v>
      </c>
      <c r="Q88" s="309"/>
      <c r="R88" s="894">
        <f>R7-R42</f>
        <v>2.7078899999905843</v>
      </c>
      <c r="S88" s="894">
        <f>S7-S42</f>
        <v>164.53305585598719</v>
      </c>
      <c r="T88" s="894">
        <f>T7-T42</f>
        <v>619.36311378857499</v>
      </c>
      <c r="U88" s="309"/>
      <c r="V88" s="309"/>
      <c r="W88" s="309"/>
      <c r="X88" s="309"/>
      <c r="Y88" s="309"/>
    </row>
    <row r="89" spans="1:25" ht="16.5" customHeight="1" x14ac:dyDescent="0.2">
      <c r="A89" s="841" t="s">
        <v>53</v>
      </c>
      <c r="B89" s="841" t="s">
        <v>1642</v>
      </c>
      <c r="C89" s="842"/>
      <c r="D89" s="858">
        <f>D88/D90</f>
        <v>-2.4277502642659831E-2</v>
      </c>
      <c r="E89" s="858">
        <f>E88/E90</f>
        <v>-7.8042034828054233E-2</v>
      </c>
      <c r="F89" s="858">
        <f t="shared" ref="F89:L89" si="49">F88/F90</f>
        <v>-7.4849202320897701E-2</v>
      </c>
      <c r="G89" s="858">
        <f t="shared" si="49"/>
        <v>-4.2769513728421894E-2</v>
      </c>
      <c r="H89" s="858">
        <f t="shared" si="49"/>
        <v>-4.3448871099740709E-2</v>
      </c>
      <c r="I89" s="858">
        <f t="shared" si="49"/>
        <v>-2.719988478340795E-2</v>
      </c>
      <c r="J89" s="858">
        <f>J88/J90</f>
        <v>-2.707326627732079E-2</v>
      </c>
      <c r="K89" s="858">
        <f t="shared" si="49"/>
        <v>-2.7445806862164638E-2</v>
      </c>
      <c r="L89" s="858">
        <f t="shared" si="49"/>
        <v>-1.6817818285144438E-2</v>
      </c>
      <c r="M89" s="858">
        <f>M88/M90</f>
        <v>-1.2399995686941511E-2</v>
      </c>
      <c r="N89" s="859">
        <f>N88/N90</f>
        <v>-5.0000000000000521E-3</v>
      </c>
      <c r="O89" s="859">
        <f t="shared" ref="O89:P89" si="50">O88/O90</f>
        <v>0</v>
      </c>
      <c r="P89" s="859">
        <f t="shared" si="50"/>
        <v>0</v>
      </c>
      <c r="Q89" s="309"/>
      <c r="R89" s="859">
        <f>R88/R90*100</f>
        <v>3.0306208100531438E-3</v>
      </c>
      <c r="S89" s="859">
        <f>S88/S90*100</f>
        <v>0.17305958205260755</v>
      </c>
      <c r="T89" s="859">
        <f>T88/T90*100</f>
        <v>0.61487552470533136</v>
      </c>
      <c r="U89" s="309"/>
      <c r="V89" s="309"/>
      <c r="W89" s="309"/>
      <c r="X89" s="309"/>
      <c r="Y89" s="309"/>
    </row>
    <row r="90" spans="1:25" ht="16.5" customHeight="1" x14ac:dyDescent="0.25">
      <c r="A90" s="843" t="s">
        <v>108</v>
      </c>
      <c r="B90" s="843" t="s">
        <v>340</v>
      </c>
      <c r="C90" s="844"/>
      <c r="D90" s="846">
        <v>68491.600000000006</v>
      </c>
      <c r="E90" s="846">
        <v>64023.1</v>
      </c>
      <c r="F90" s="846">
        <v>67577.3</v>
      </c>
      <c r="G90" s="846">
        <v>70627.199999999997</v>
      </c>
      <c r="H90" s="846">
        <v>72703.5</v>
      </c>
      <c r="I90" s="846">
        <v>74169.873000000007</v>
      </c>
      <c r="J90" s="846">
        <v>75946.358999999997</v>
      </c>
      <c r="K90" s="846">
        <v>78685.607999999993</v>
      </c>
      <c r="L90" s="846">
        <v>80958.004000000001</v>
      </c>
      <c r="M90" s="846">
        <v>84580.351999999999</v>
      </c>
      <c r="N90" s="846">
        <v>89351</v>
      </c>
      <c r="O90" s="846">
        <v>95073.069000000003</v>
      </c>
      <c r="P90" s="846">
        <v>100729.837</v>
      </c>
      <c r="Q90" s="309"/>
      <c r="R90" s="846">
        <v>89351</v>
      </c>
      <c r="S90" s="846">
        <v>95073.069000000003</v>
      </c>
      <c r="T90" s="846">
        <v>100729.837</v>
      </c>
      <c r="U90" s="309"/>
      <c r="V90" s="309"/>
      <c r="W90" s="309"/>
      <c r="X90" s="309"/>
      <c r="Y90" s="309"/>
    </row>
    <row r="91" spans="1:25" x14ac:dyDescent="0.2">
      <c r="A91" s="311"/>
      <c r="B91" s="311"/>
      <c r="D91" s="114"/>
      <c r="E91" s="114"/>
      <c r="F91" s="114"/>
      <c r="G91" s="114"/>
      <c r="H91" s="114"/>
      <c r="I91" s="114"/>
    </row>
    <row r="92" spans="1:25" x14ac:dyDescent="0.2">
      <c r="A92" s="311"/>
      <c r="B92" s="311"/>
      <c r="D92" s="114"/>
      <c r="E92" s="114"/>
      <c r="F92" s="114"/>
      <c r="G92" s="114"/>
      <c r="H92" s="114"/>
      <c r="I92" s="114"/>
      <c r="K92" s="313"/>
      <c r="L92" s="114"/>
      <c r="M92" s="114"/>
    </row>
    <row r="93" spans="1:25" x14ac:dyDescent="0.2">
      <c r="A93" s="311"/>
      <c r="B93" s="311"/>
      <c r="M93" s="309"/>
    </row>
  </sheetData>
  <mergeCells count="2">
    <mergeCell ref="R3:T3"/>
    <mergeCell ref="C4:C8"/>
  </mergeCells>
  <pageMargins left="0.7" right="0.7" top="0.75" bottom="0.75" header="0.3" footer="0.3"/>
  <pageSetup paperSize="9" orientation="portrait" r:id="rId1"/>
  <ignoredErrors>
    <ignoredError sqref="M42:P42 M88:P89 M7:P8 M43:P43 E43:L43 D7:L8 D88:L89 D42:L42" unlocked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3:P49"/>
  <sheetViews>
    <sheetView showGridLines="0" zoomScale="85" zoomScaleNormal="85" workbookViewId="0"/>
  </sheetViews>
  <sheetFormatPr defaultRowHeight="13.5" x14ac:dyDescent="0.25"/>
  <cols>
    <col min="1" max="1" width="34.7109375" style="40" customWidth="1"/>
    <col min="2" max="7" width="7.5703125" style="40" customWidth="1"/>
    <col min="8" max="8" width="2" style="40" customWidth="1"/>
    <col min="9" max="9" width="2.5703125" style="40" customWidth="1"/>
    <col min="10" max="10" width="28.7109375" style="40" customWidth="1"/>
    <col min="11" max="16" width="6.5703125" style="40" bestFit="1" customWidth="1"/>
    <col min="17" max="16384" width="9.140625" style="40"/>
  </cols>
  <sheetData>
    <row r="3" spans="1:16" x14ac:dyDescent="0.25">
      <c r="A3" s="120"/>
    </row>
    <row r="4" spans="1:16" ht="14.25" thickBot="1" x14ac:dyDescent="0.3">
      <c r="A4" s="649" t="s">
        <v>1608</v>
      </c>
      <c r="B4" s="52"/>
      <c r="C4" s="52"/>
      <c r="D4" s="52"/>
      <c r="E4" s="52"/>
      <c r="H4" s="393"/>
      <c r="I4" s="393"/>
      <c r="J4" s="649" t="s">
        <v>1609</v>
      </c>
      <c r="K4" s="52"/>
      <c r="L4" s="52"/>
      <c r="M4" s="52"/>
      <c r="N4" s="52"/>
      <c r="O4" s="52"/>
      <c r="P4" s="52"/>
    </row>
    <row r="19" spans="1:16" ht="14.25" thickBot="1" x14ac:dyDescent="0.3">
      <c r="A19" s="896" t="s">
        <v>1610</v>
      </c>
      <c r="B19" s="896"/>
      <c r="C19" s="896"/>
      <c r="D19" s="896"/>
      <c r="E19" s="896"/>
      <c r="F19" s="896"/>
      <c r="G19" s="896"/>
      <c r="J19" s="897" t="s">
        <v>1601</v>
      </c>
      <c r="K19" s="897"/>
      <c r="L19" s="897"/>
      <c r="M19" s="897"/>
      <c r="N19" s="897"/>
      <c r="O19" s="897"/>
      <c r="P19" s="897"/>
    </row>
    <row r="20" spans="1:16" ht="14.25" thickBot="1" x14ac:dyDescent="0.3">
      <c r="A20" s="182"/>
      <c r="B20" s="146">
        <f>'Tab 18 '!B4</f>
        <v>2015</v>
      </c>
      <c r="C20" s="146">
        <f>'Tab 18 '!C4</f>
        <v>2016</v>
      </c>
      <c r="D20" s="146">
        <f>'Tab 18 '!D4</f>
        <v>2017</v>
      </c>
      <c r="E20" s="146">
        <f>'Tab 18 '!E4</f>
        <v>2018</v>
      </c>
      <c r="F20" s="146">
        <f>'Tab 18 '!F4</f>
        <v>2019</v>
      </c>
      <c r="G20" s="146">
        <f>'Tab 18 '!G4</f>
        <v>2020</v>
      </c>
      <c r="J20" s="18"/>
      <c r="K20" s="12">
        <f>'Tab 20 '!B5</f>
        <v>2015</v>
      </c>
      <c r="L20" s="12">
        <f>'Tab 20 '!C5</f>
        <v>2016</v>
      </c>
      <c r="M20" s="12">
        <f>'Tab 20 '!D5</f>
        <v>2017</v>
      </c>
      <c r="N20" s="12">
        <f>'Tab 20 '!E5</f>
        <v>2018</v>
      </c>
      <c r="O20" s="12">
        <f>'Tab 20 '!F5</f>
        <v>2019</v>
      </c>
      <c r="P20" s="12">
        <f>'Tab 20 '!G5</f>
        <v>2020</v>
      </c>
    </row>
    <row r="21" spans="1:16" x14ac:dyDescent="0.25">
      <c r="A21" s="1" t="s">
        <v>148</v>
      </c>
      <c r="B21" s="45">
        <f>'Tab 18 '!B5</f>
        <v>-2.7445806862164637</v>
      </c>
      <c r="C21" s="45">
        <f>'Tab 18 '!C5</f>
        <v>-1.6817818285144437</v>
      </c>
      <c r="D21" s="45">
        <f>'Tab 18 '!D5</f>
        <v>-1.2399995686941512</v>
      </c>
      <c r="E21" s="97">
        <f>'Tab 18 '!E5</f>
        <v>-0.50000000000000522</v>
      </c>
      <c r="F21" s="97">
        <f>'Tab 18 '!F5</f>
        <v>0</v>
      </c>
      <c r="G21" s="97">
        <f>'Tab 18 '!G5</f>
        <v>0</v>
      </c>
      <c r="J21" s="16" t="s">
        <v>82</v>
      </c>
      <c r="K21" s="38">
        <f>'Tab 20 '!B6</f>
        <v>52.480982290941959</v>
      </c>
      <c r="L21" s="38">
        <f>'Tab 20 '!C6</f>
        <v>51.944515578719063</v>
      </c>
      <c r="M21" s="38">
        <f>'Tab 20 '!D6</f>
        <v>51.753576813312797</v>
      </c>
      <c r="N21" s="38">
        <f>'Tab 20 '!E6</f>
        <v>49.936921613254334</v>
      </c>
      <c r="O21" s="38">
        <f>'Tab 20 '!F6</f>
        <v>47.993310076994348</v>
      </c>
      <c r="P21" s="38">
        <f>'Tab 20 '!G6</f>
        <v>45.978313115681118</v>
      </c>
    </row>
    <row r="22" spans="1:16" ht="14.25" thickBot="1" x14ac:dyDescent="0.3">
      <c r="A22" s="3" t="s">
        <v>149</v>
      </c>
      <c r="B22" s="68">
        <f>'Tab 18 '!B8</f>
        <v>-2.3215508695872575</v>
      </c>
      <c r="C22" s="68">
        <f>'Tab 18 '!C8</f>
        <v>-1.3881204053720908</v>
      </c>
      <c r="D22" s="68">
        <f>'Tab 18 '!D8</f>
        <v>-1.0124596682186437</v>
      </c>
      <c r="E22" s="68">
        <f>'Tab 18 '!E8</f>
        <v>-0.40487011073020646</v>
      </c>
      <c r="F22" s="68">
        <f>'Tab 18 '!F8</f>
        <v>-0.24007295457461639</v>
      </c>
      <c r="G22" s="68">
        <f>'Tab 18 '!G8</f>
        <v>-0.36551718565750513</v>
      </c>
      <c r="J22" s="16" t="s">
        <v>147</v>
      </c>
      <c r="K22" s="38">
        <f>K21-K23</f>
        <v>49.253149452010376</v>
      </c>
      <c r="L22" s="38">
        <f t="shared" ref="L22:P22" si="0">L21-L23</f>
        <v>48.80728421301373</v>
      </c>
      <c r="M22" s="38">
        <f t="shared" si="0"/>
        <v>48.750704605901639</v>
      </c>
      <c r="N22" s="38">
        <f t="shared" si="0"/>
        <v>47.09437939669445</v>
      </c>
      <c r="O22" s="38">
        <f t="shared" si="0"/>
        <v>45.321849152305461</v>
      </c>
      <c r="P22" s="38">
        <f t="shared" si="0"/>
        <v>43.456875600375923</v>
      </c>
    </row>
    <row r="23" spans="1:16" ht="14.25" thickBot="1" x14ac:dyDescent="0.3">
      <c r="A23" s="112" t="s">
        <v>150</v>
      </c>
      <c r="B23" s="68">
        <f>'Tab 18 '!B9</f>
        <v>-0.11919044031814474</v>
      </c>
      <c r="C23" s="68">
        <f>C22-B22</f>
        <v>0.93343046421516673</v>
      </c>
      <c r="D23" s="68">
        <f t="shared" ref="D23:G23" si="1">D22-C22</f>
        <v>0.37566073715344706</v>
      </c>
      <c r="E23" s="68">
        <f t="shared" si="1"/>
        <v>0.60758955748843735</v>
      </c>
      <c r="F23" s="68">
        <f t="shared" si="1"/>
        <v>0.16479715615559007</v>
      </c>
      <c r="G23" s="68">
        <f t="shared" si="1"/>
        <v>-0.12544423108288874</v>
      </c>
      <c r="J23" s="16" t="s">
        <v>146</v>
      </c>
      <c r="K23" s="38">
        <f>'Tab 20 '!B14</f>
        <v>3.2278328389315822</v>
      </c>
      <c r="L23" s="38">
        <f>'Tab 20 '!C14</f>
        <v>3.1372313657053303</v>
      </c>
      <c r="M23" s="38">
        <f>'Tab 20 '!D14</f>
        <v>3.0028722074111593</v>
      </c>
      <c r="N23" s="38">
        <f>'Tab 20 '!E14</f>
        <v>2.8425422165598846</v>
      </c>
      <c r="O23" s="38">
        <f>'Tab 20 '!F14</f>
        <v>2.671460924688887</v>
      </c>
      <c r="P23" s="38">
        <f>'Tab 20 '!G14</f>
        <v>2.5214375153051916</v>
      </c>
    </row>
    <row r="24" spans="1:16" ht="14.25" thickBot="1" x14ac:dyDescent="0.3">
      <c r="A24" s="5"/>
      <c r="B24" s="37"/>
      <c r="C24" s="37"/>
      <c r="D24" s="81"/>
      <c r="E24" s="37"/>
      <c r="F24" s="37"/>
      <c r="G24" s="37"/>
      <c r="J24" s="46" t="s">
        <v>151</v>
      </c>
      <c r="K24" s="39">
        <f>'Tab 20 '!B12</f>
        <v>48.214345627220681</v>
      </c>
      <c r="L24" s="39">
        <f>'Tab 20 '!C12</f>
        <v>47.004140566509029</v>
      </c>
      <c r="M24" s="39">
        <f>'Tab 20 '!D12</f>
        <v>46.852281109816708</v>
      </c>
      <c r="N24" s="39">
        <f>'Tab 20 '!E12</f>
        <v>45.090520052349831</v>
      </c>
      <c r="O24" s="39">
        <f>'Tab 20 '!F12</f>
        <v>42.690731994583544</v>
      </c>
      <c r="P24" s="39">
        <f>'Tab 20 '!G12</f>
        <v>40.516251122907782</v>
      </c>
    </row>
    <row r="25" spans="1:16" x14ac:dyDescent="0.25">
      <c r="A25" s="36"/>
      <c r="B25" s="44"/>
      <c r="C25" s="44"/>
      <c r="D25" s="82"/>
      <c r="E25" s="44"/>
      <c r="F25" s="895" t="s">
        <v>541</v>
      </c>
      <c r="G25" s="895"/>
      <c r="J25" s="57"/>
      <c r="K25" s="58"/>
      <c r="L25" s="58"/>
      <c r="M25" s="58"/>
      <c r="N25" s="58"/>
      <c r="O25" s="895" t="s">
        <v>541</v>
      </c>
      <c r="P25" s="895"/>
    </row>
    <row r="26" spans="1:16" x14ac:dyDescent="0.25">
      <c r="A26" s="36"/>
      <c r="B26" s="44"/>
      <c r="C26" s="44"/>
      <c r="D26" s="82"/>
      <c r="E26" s="44"/>
      <c r="F26" s="44"/>
      <c r="G26" s="44"/>
      <c r="J26" s="57"/>
      <c r="K26" s="58"/>
      <c r="L26" s="58"/>
      <c r="M26" s="58"/>
      <c r="N26" s="58"/>
      <c r="O26" s="58"/>
      <c r="P26" s="58"/>
    </row>
    <row r="27" spans="1:16" ht="14.25" thickBot="1" x14ac:dyDescent="0.3">
      <c r="A27" s="649" t="s">
        <v>1033</v>
      </c>
      <c r="B27" s="52"/>
      <c r="C27" s="52"/>
      <c r="D27" s="52"/>
      <c r="E27" s="52"/>
      <c r="F27" s="44"/>
      <c r="G27" s="44"/>
      <c r="J27" s="649" t="s">
        <v>1034</v>
      </c>
      <c r="K27" s="52"/>
      <c r="L27" s="52"/>
      <c r="M27" s="52"/>
      <c r="N27" s="52"/>
      <c r="O27" s="52"/>
      <c r="P27" s="52"/>
    </row>
    <row r="28" spans="1:16" x14ac:dyDescent="0.25">
      <c r="A28" s="36"/>
      <c r="B28" s="44"/>
      <c r="C28" s="44"/>
      <c r="D28" s="82"/>
      <c r="E28" s="44"/>
      <c r="F28" s="44"/>
      <c r="G28" s="44"/>
      <c r="J28" s="57"/>
      <c r="K28" s="58"/>
      <c r="L28" s="58"/>
      <c r="M28" s="58"/>
      <c r="N28" s="58"/>
      <c r="O28" s="58"/>
      <c r="P28" s="58"/>
    </row>
    <row r="29" spans="1:16" x14ac:dyDescent="0.25">
      <c r="A29" s="36"/>
      <c r="B29" s="44"/>
      <c r="C29" s="44"/>
      <c r="D29" s="82"/>
      <c r="E29" s="44"/>
      <c r="F29" s="44"/>
      <c r="G29" s="44"/>
      <c r="J29" s="57"/>
      <c r="K29" s="58"/>
      <c r="L29" s="58"/>
      <c r="M29" s="58"/>
      <c r="N29" s="58"/>
      <c r="O29" s="58"/>
      <c r="P29" s="58"/>
    </row>
    <row r="30" spans="1:16" x14ac:dyDescent="0.25">
      <c r="A30" s="36"/>
      <c r="B30" s="44"/>
      <c r="C30" s="44"/>
      <c r="D30" s="82"/>
      <c r="E30" s="44"/>
      <c r="F30" s="44"/>
      <c r="G30" s="44"/>
      <c r="J30" s="57"/>
      <c r="K30" s="58"/>
      <c r="L30" s="58"/>
      <c r="M30" s="58"/>
      <c r="N30" s="58"/>
      <c r="O30" s="58"/>
      <c r="P30" s="58"/>
    </row>
    <row r="31" spans="1:16" x14ac:dyDescent="0.25">
      <c r="A31" s="36"/>
      <c r="B31" s="44"/>
      <c r="C31" s="44"/>
      <c r="D31" s="82"/>
      <c r="E31" s="44"/>
      <c r="F31" s="44"/>
      <c r="G31" s="44"/>
      <c r="J31" s="57"/>
      <c r="K31" s="58"/>
      <c r="L31" s="58"/>
      <c r="M31" s="58"/>
      <c r="N31" s="58"/>
      <c r="O31" s="58"/>
      <c r="P31" s="58"/>
    </row>
    <row r="32" spans="1:16" x14ac:dyDescent="0.25">
      <c r="A32" s="36"/>
      <c r="B32" s="44"/>
      <c r="C32" s="44"/>
      <c r="D32" s="82"/>
      <c r="E32" s="44"/>
      <c r="F32" s="44"/>
      <c r="G32" s="44"/>
      <c r="J32" s="57"/>
      <c r="K32" s="58"/>
      <c r="L32" s="58"/>
      <c r="M32" s="58"/>
      <c r="N32" s="58"/>
      <c r="O32" s="58"/>
      <c r="P32" s="58"/>
    </row>
    <row r="33" spans="1:16" x14ac:dyDescent="0.25">
      <c r="A33" s="36"/>
      <c r="B33" s="44"/>
      <c r="C33" s="44"/>
      <c r="D33" s="82"/>
      <c r="E33" s="44"/>
      <c r="F33" s="44"/>
      <c r="G33" s="44"/>
      <c r="J33" s="57"/>
      <c r="K33" s="58"/>
      <c r="L33" s="58"/>
      <c r="M33" s="58"/>
      <c r="N33" s="58"/>
      <c r="O33" s="58"/>
      <c r="P33" s="58"/>
    </row>
    <row r="34" spans="1:16" x14ac:dyDescent="0.25">
      <c r="A34" s="36"/>
      <c r="B34" s="44"/>
      <c r="C34" s="44"/>
      <c r="D34" s="82"/>
      <c r="E34" s="44"/>
      <c r="F34" s="44"/>
      <c r="G34" s="44"/>
      <c r="J34" s="57"/>
      <c r="K34" s="58"/>
      <c r="L34" s="58"/>
      <c r="M34" s="58"/>
      <c r="N34" s="58"/>
      <c r="O34" s="58"/>
      <c r="P34" s="58"/>
    </row>
    <row r="35" spans="1:16" x14ac:dyDescent="0.25">
      <c r="A35" s="36"/>
      <c r="B35" s="44"/>
      <c r="C35" s="44"/>
      <c r="D35" s="82"/>
      <c r="E35" s="44"/>
      <c r="F35" s="44"/>
      <c r="G35" s="44"/>
      <c r="J35" s="57"/>
      <c r="K35" s="58"/>
      <c r="L35" s="58"/>
      <c r="M35" s="58"/>
      <c r="N35" s="58"/>
      <c r="O35" s="58"/>
      <c r="P35" s="58"/>
    </row>
    <row r="36" spans="1:16" x14ac:dyDescent="0.25">
      <c r="A36" s="36"/>
      <c r="B36" s="44"/>
      <c r="C36" s="44"/>
      <c r="D36" s="82"/>
      <c r="E36" s="44"/>
      <c r="F36" s="44"/>
      <c r="G36" s="44"/>
      <c r="J36" s="57"/>
      <c r="K36" s="58"/>
      <c r="L36" s="58"/>
      <c r="M36" s="58"/>
      <c r="N36" s="58"/>
      <c r="O36" s="58"/>
      <c r="P36" s="58"/>
    </row>
    <row r="37" spans="1:16" x14ac:dyDescent="0.25">
      <c r="A37" s="36"/>
      <c r="B37" s="44"/>
      <c r="C37" s="44"/>
      <c r="D37" s="82"/>
      <c r="E37" s="44"/>
      <c r="F37" s="44"/>
      <c r="G37" s="44"/>
      <c r="J37" s="57"/>
      <c r="K37" s="58"/>
      <c r="L37" s="58"/>
      <c r="M37" s="58"/>
      <c r="N37" s="58"/>
      <c r="O37" s="58"/>
      <c r="P37" s="58"/>
    </row>
    <row r="38" spans="1:16" x14ac:dyDescent="0.25">
      <c r="A38" s="36"/>
      <c r="B38" s="44"/>
      <c r="C38" s="44"/>
      <c r="D38" s="82"/>
      <c r="E38" s="44"/>
      <c r="F38" s="44"/>
      <c r="G38" s="44"/>
      <c r="J38" s="57"/>
      <c r="K38" s="58"/>
      <c r="L38" s="58"/>
      <c r="M38" s="58"/>
      <c r="N38" s="58"/>
      <c r="O38" s="58"/>
      <c r="P38" s="58"/>
    </row>
    <row r="39" spans="1:16" x14ac:dyDescent="0.25">
      <c r="A39" s="36"/>
      <c r="B39" s="44"/>
      <c r="C39" s="44"/>
      <c r="D39" s="82"/>
      <c r="E39" s="44"/>
      <c r="F39" s="44"/>
      <c r="G39" s="44"/>
      <c r="J39" s="57"/>
      <c r="K39" s="58"/>
      <c r="L39" s="58"/>
      <c r="M39" s="58"/>
      <c r="N39" s="58"/>
      <c r="O39" s="58"/>
      <c r="P39" s="58"/>
    </row>
    <row r="40" spans="1:16" x14ac:dyDescent="0.25">
      <c r="A40" s="36"/>
      <c r="B40" s="44"/>
      <c r="C40" s="44"/>
      <c r="D40" s="44"/>
      <c r="E40" s="44"/>
      <c r="F40" s="44"/>
      <c r="G40" s="44"/>
      <c r="J40" s="57"/>
      <c r="K40" s="58"/>
      <c r="L40" s="58"/>
      <c r="M40" s="58"/>
      <c r="N40" s="58"/>
      <c r="O40" s="58"/>
      <c r="P40" s="58"/>
    </row>
    <row r="41" spans="1:16" x14ac:dyDescent="0.25">
      <c r="A41" s="36"/>
      <c r="B41" s="44"/>
      <c r="C41" s="44"/>
      <c r="D41" s="44"/>
      <c r="E41" s="44"/>
      <c r="F41" s="44"/>
      <c r="G41" s="44"/>
      <c r="J41" s="57"/>
      <c r="K41" s="58"/>
      <c r="L41" s="58"/>
      <c r="M41" s="58"/>
      <c r="N41" s="58"/>
      <c r="O41" s="58"/>
      <c r="P41" s="58"/>
    </row>
    <row r="42" spans="1:16" x14ac:dyDescent="0.25">
      <c r="A42" s="36"/>
      <c r="B42" s="44"/>
      <c r="C42" s="44"/>
      <c r="D42" s="44"/>
      <c r="E42" s="44"/>
      <c r="F42" s="44"/>
      <c r="G42" s="44"/>
      <c r="J42" s="57"/>
      <c r="K42" s="58"/>
      <c r="L42" s="58"/>
      <c r="M42" s="58"/>
      <c r="N42" s="58"/>
      <c r="O42" s="58"/>
      <c r="P42" s="58"/>
    </row>
    <row r="43" spans="1:16" ht="14.25" thickBot="1" x14ac:dyDescent="0.3">
      <c r="A43" s="896" t="s">
        <v>443</v>
      </c>
      <c r="B43" s="896"/>
      <c r="C43" s="896"/>
      <c r="D43" s="896"/>
      <c r="E43" s="896"/>
      <c r="F43" s="896"/>
      <c r="G43" s="896"/>
      <c r="J43" s="897" t="s">
        <v>602</v>
      </c>
      <c r="K43" s="897"/>
      <c r="L43" s="897"/>
      <c r="M43" s="897"/>
      <c r="N43" s="897"/>
      <c r="O43" s="897"/>
      <c r="P43" s="897"/>
    </row>
    <row r="44" spans="1:16" ht="15.75" customHeight="1" thickBot="1" x14ac:dyDescent="0.3">
      <c r="A44" s="182"/>
      <c r="B44" s="146">
        <v>2015</v>
      </c>
      <c r="C44" s="146">
        <v>2016</v>
      </c>
      <c r="D44" s="146">
        <v>2017</v>
      </c>
      <c r="E44" s="146">
        <v>2018</v>
      </c>
      <c r="F44" s="146">
        <v>2019</v>
      </c>
      <c r="G44" s="146">
        <v>2020</v>
      </c>
      <c r="J44" s="18"/>
      <c r="K44" s="12">
        <f>'Tab 20 '!B5</f>
        <v>2015</v>
      </c>
      <c r="L44" s="12">
        <f>'Tab 20 '!C5</f>
        <v>2016</v>
      </c>
      <c r="M44" s="12">
        <f>'Tab 20 '!D5</f>
        <v>2017</v>
      </c>
      <c r="N44" s="12">
        <f>'Tab 20 '!E5</f>
        <v>2018</v>
      </c>
      <c r="O44" s="12">
        <f>'Tab 20 '!F5</f>
        <v>2019</v>
      </c>
      <c r="P44" s="12">
        <f>'Tab 20 '!G5</f>
        <v>2020</v>
      </c>
    </row>
    <row r="45" spans="1:16" x14ac:dyDescent="0.25">
      <c r="A45" s="1" t="s">
        <v>444</v>
      </c>
      <c r="B45" s="45">
        <f>'Tab 18 '!B5</f>
        <v>-2.7445806862164637</v>
      </c>
      <c r="C45" s="45">
        <f>'Tab 18 '!C5</f>
        <v>-1.6817818285144437</v>
      </c>
      <c r="D45" s="45">
        <f>'Tab 18 '!D5</f>
        <v>-1.2399995686941512</v>
      </c>
      <c r="E45" s="45">
        <f>'Tab 18 '!E5</f>
        <v>-0.50000000000000522</v>
      </c>
      <c r="F45" s="45">
        <f>'Tab 18 '!F5</f>
        <v>0</v>
      </c>
      <c r="G45" s="45">
        <f>'Tab 18 '!G5</f>
        <v>0</v>
      </c>
      <c r="J45" s="16" t="s">
        <v>445</v>
      </c>
      <c r="K45" s="38">
        <f>'Tab 20 '!B6</f>
        <v>52.480982290941959</v>
      </c>
      <c r="L45" s="38">
        <f>'Tab 20 '!C6</f>
        <v>51.944515578719063</v>
      </c>
      <c r="M45" s="38">
        <f>'Tab 20 '!D6</f>
        <v>51.753576813312797</v>
      </c>
      <c r="N45" s="38">
        <f>'Tab 20 '!E6</f>
        <v>49.936921613254334</v>
      </c>
      <c r="O45" s="38">
        <f>'Tab 20 '!F6</f>
        <v>47.993310076994348</v>
      </c>
      <c r="P45" s="38">
        <f>'Tab 20 '!G6</f>
        <v>45.978313115681118</v>
      </c>
    </row>
    <row r="46" spans="1:16" ht="14.25" thickBot="1" x14ac:dyDescent="0.3">
      <c r="A46" s="3" t="s">
        <v>446</v>
      </c>
      <c r="B46" s="68">
        <f>'Tab 18 '!B8</f>
        <v>-2.3215508695872575</v>
      </c>
      <c r="C46" s="68">
        <f>'Tab 18 '!C8</f>
        <v>-1.3881204053720908</v>
      </c>
      <c r="D46" s="68">
        <f>'Tab 18 '!D8</f>
        <v>-1.0124596682186437</v>
      </c>
      <c r="E46" s="68">
        <f>'Tab 18 '!E8</f>
        <v>-0.40487011073020646</v>
      </c>
      <c r="F46" s="68">
        <f>'Tab 18 '!F8</f>
        <v>-0.24007295457461639</v>
      </c>
      <c r="G46" s="68">
        <f>'Tab 18 '!G8</f>
        <v>-0.36551718565750513</v>
      </c>
      <c r="J46" s="16" t="s">
        <v>447</v>
      </c>
      <c r="K46" s="38">
        <f>K45-K47</f>
        <v>49.253149452010376</v>
      </c>
      <c r="L46" s="38">
        <f t="shared" ref="L46" si="2">L45-L47</f>
        <v>48.80728421301373</v>
      </c>
      <c r="M46" s="38">
        <f t="shared" ref="M46" si="3">M45-M47</f>
        <v>48.750704605901639</v>
      </c>
      <c r="N46" s="38">
        <f t="shared" ref="N46" si="4">N45-N47</f>
        <v>47.09437939669445</v>
      </c>
      <c r="O46" s="38">
        <f t="shared" ref="O46" si="5">O45-O47</f>
        <v>45.321849152305461</v>
      </c>
      <c r="P46" s="38">
        <f t="shared" ref="P46" si="6">P45-P47</f>
        <v>43.456875600375923</v>
      </c>
    </row>
    <row r="47" spans="1:16" ht="14.25" thickBot="1" x14ac:dyDescent="0.3">
      <c r="A47" s="112" t="s">
        <v>448</v>
      </c>
      <c r="B47" s="68">
        <f t="shared" ref="B47" si="7">B23</f>
        <v>-0.11919044031814474</v>
      </c>
      <c r="C47" s="68">
        <f>C46-B46</f>
        <v>0.93343046421516673</v>
      </c>
      <c r="D47" s="68">
        <f t="shared" ref="D47:G47" si="8">D46-C46</f>
        <v>0.37566073715344706</v>
      </c>
      <c r="E47" s="68">
        <f t="shared" si="8"/>
        <v>0.60758955748843735</v>
      </c>
      <c r="F47" s="68">
        <f t="shared" si="8"/>
        <v>0.16479715615559007</v>
      </c>
      <c r="G47" s="68">
        <f t="shared" si="8"/>
        <v>-0.12544423108288874</v>
      </c>
      <c r="J47" s="16" t="s">
        <v>449</v>
      </c>
      <c r="K47" s="38">
        <f>'Tab 20 '!B14</f>
        <v>3.2278328389315822</v>
      </c>
      <c r="L47" s="38">
        <f>'Tab 20 '!C14</f>
        <v>3.1372313657053303</v>
      </c>
      <c r="M47" s="38">
        <f>'Tab 20 '!D14</f>
        <v>3.0028722074111593</v>
      </c>
      <c r="N47" s="38">
        <f>'Tab 20 '!E14</f>
        <v>2.8425422165598846</v>
      </c>
      <c r="O47" s="38">
        <f>'Tab 20 '!F14</f>
        <v>2.671460924688887</v>
      </c>
      <c r="P47" s="38">
        <f>'Tab 20 '!G14</f>
        <v>2.5214375153051916</v>
      </c>
    </row>
    <row r="48" spans="1:16" ht="14.25" thickBot="1" x14ac:dyDescent="0.3">
      <c r="A48" s="5"/>
      <c r="B48" s="37"/>
      <c r="C48" s="37"/>
      <c r="D48" s="81"/>
      <c r="E48" s="37"/>
      <c r="F48" s="37"/>
      <c r="G48" s="37"/>
      <c r="J48" s="46" t="s">
        <v>450</v>
      </c>
      <c r="K48" s="39">
        <f>'Tab 20 '!B12</f>
        <v>48.214345627220681</v>
      </c>
      <c r="L48" s="39">
        <f>'Tab 20 '!C12</f>
        <v>47.004140566509029</v>
      </c>
      <c r="M48" s="39">
        <f>'Tab 20 '!D12</f>
        <v>46.852281109816708</v>
      </c>
      <c r="N48" s="39">
        <f>'Tab 20 '!E12</f>
        <v>45.090520052349831</v>
      </c>
      <c r="O48" s="39">
        <f>'Tab 20 '!F12</f>
        <v>42.690731994583544</v>
      </c>
      <c r="P48" s="39">
        <f>'Tab 20 '!G12</f>
        <v>40.516251122907782</v>
      </c>
    </row>
    <row r="49" spans="6:16" x14ac:dyDescent="0.25">
      <c r="F49" s="895" t="s">
        <v>540</v>
      </c>
      <c r="G49" s="895"/>
      <c r="O49" s="895" t="s">
        <v>540</v>
      </c>
      <c r="P49" s="895"/>
    </row>
  </sheetData>
  <mergeCells count="10">
    <mergeCell ref="F49:G49"/>
    <mergeCell ref="O25:P25"/>
    <mergeCell ref="O49:P49"/>
    <mergeCell ref="A19:D19"/>
    <mergeCell ref="E19:G19"/>
    <mergeCell ref="J19:P19"/>
    <mergeCell ref="A43:D43"/>
    <mergeCell ref="E43:G43"/>
    <mergeCell ref="J43:P43"/>
    <mergeCell ref="F25:G2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B2:V40"/>
  <sheetViews>
    <sheetView showGridLines="0" zoomScale="85" zoomScaleNormal="85" workbookViewId="0">
      <selection activeCell="C31" sqref="C31"/>
    </sheetView>
  </sheetViews>
  <sheetFormatPr defaultRowHeight="13.5" x14ac:dyDescent="0.25"/>
  <cols>
    <col min="1" max="1" width="19.5703125" style="40" customWidth="1"/>
    <col min="2" max="2" width="36.28515625" style="40" customWidth="1"/>
    <col min="3" max="3" width="9.140625" style="40"/>
    <col min="4" max="4" width="11.42578125" style="40" customWidth="1"/>
    <col min="5" max="5" width="10.85546875" style="40" customWidth="1"/>
    <col min="6" max="9" width="9.140625" style="40"/>
    <col min="10" max="10" width="22.85546875" style="40" customWidth="1"/>
    <col min="11" max="11" width="42.140625" style="40" customWidth="1"/>
    <col min="12" max="12" width="13.42578125" style="40" customWidth="1"/>
    <col min="13" max="13" width="11.42578125" style="40" customWidth="1"/>
    <col min="14" max="16384" width="9.140625" style="40"/>
  </cols>
  <sheetData>
    <row r="2" spans="2:22" ht="14.25" thickBot="1" x14ac:dyDescent="0.3">
      <c r="B2" s="658" t="s">
        <v>1035</v>
      </c>
      <c r="C2" s="52"/>
      <c r="D2" s="52"/>
      <c r="E2" s="52"/>
      <c r="F2" s="52"/>
      <c r="G2" s="393"/>
      <c r="H2" s="393"/>
      <c r="I2" s="393"/>
      <c r="K2" s="658" t="s">
        <v>1036</v>
      </c>
      <c r="L2" s="52"/>
      <c r="M2" s="52"/>
      <c r="N2" s="52"/>
      <c r="O2" s="393"/>
      <c r="P2" s="393"/>
      <c r="Q2" s="393"/>
      <c r="R2" s="393"/>
      <c r="S2" s="393"/>
      <c r="T2" s="393"/>
      <c r="U2" s="393"/>
      <c r="V2" s="393"/>
    </row>
    <row r="24" spans="2:16" ht="30" customHeight="1" x14ac:dyDescent="0.25">
      <c r="B24" s="680" t="s">
        <v>865</v>
      </c>
      <c r="C24" s="681" t="s">
        <v>325</v>
      </c>
      <c r="D24" s="681" t="s">
        <v>326</v>
      </c>
      <c r="E24" s="681" t="s">
        <v>327</v>
      </c>
      <c r="F24" s="681" t="s">
        <v>328</v>
      </c>
      <c r="G24" s="681" t="s">
        <v>329</v>
      </c>
      <c r="K24" s="680" t="s">
        <v>548</v>
      </c>
      <c r="L24" s="681" t="s">
        <v>542</v>
      </c>
      <c r="M24" s="681" t="s">
        <v>543</v>
      </c>
      <c r="N24" s="681" t="s">
        <v>544</v>
      </c>
      <c r="O24" s="681" t="s">
        <v>545</v>
      </c>
      <c r="P24" s="681" t="s">
        <v>546</v>
      </c>
    </row>
    <row r="25" spans="2:16" x14ac:dyDescent="0.25">
      <c r="B25" s="682" t="s">
        <v>331</v>
      </c>
      <c r="C25" s="695">
        <v>-1556.5030000000006</v>
      </c>
      <c r="D25" s="696">
        <f>C25</f>
        <v>-1556.5030000000006</v>
      </c>
      <c r="E25" s="697"/>
      <c r="F25" s="697"/>
      <c r="G25" s="697">
        <f>C25</f>
        <v>-1556.5030000000006</v>
      </c>
      <c r="H25" s="569"/>
      <c r="I25" s="569"/>
      <c r="J25" s="569"/>
      <c r="K25" s="695" t="s">
        <v>714</v>
      </c>
      <c r="L25" s="695">
        <v>-1556.5030000000006</v>
      </c>
      <c r="M25" s="696">
        <f>L25</f>
        <v>-1556.5030000000006</v>
      </c>
      <c r="N25" s="697"/>
      <c r="O25" s="697"/>
      <c r="P25" s="697">
        <f>L25</f>
        <v>-1556.5030000000006</v>
      </c>
    </row>
    <row r="26" spans="2:16" x14ac:dyDescent="0.25">
      <c r="B26" s="283" t="s">
        <v>717</v>
      </c>
      <c r="C26" s="698">
        <v>786.779</v>
      </c>
      <c r="D26" s="696">
        <f t="shared" ref="D26" si="0">C26+D25</f>
        <v>-769.72400000000061</v>
      </c>
      <c r="E26" s="697">
        <f>IF(AND(D25*C26&lt;0,ABS(C26)-ABS(D25)&gt;0),D25,0)</f>
        <v>0</v>
      </c>
      <c r="F26" s="697">
        <f t="shared" ref="F26" si="1">IF(E26&lt;&gt;0,0,IF(D25*C26&gt;=0,D25,D25+C26))</f>
        <v>-769.72400000000061</v>
      </c>
      <c r="G26" s="697">
        <f t="shared" ref="G26" si="2">IF(AND(D25&lt;&gt;0,E26=0),IF(D25+C26&lt;0,-1,IF(D25&lt;0,-1,1))*ABS(C26)+E26,IF(D25+C26&lt;0,-1,1)*ABS(C26)+E26)</f>
        <v>-786.779</v>
      </c>
      <c r="H26" s="569"/>
      <c r="I26" s="569"/>
      <c r="J26" s="569"/>
      <c r="K26" s="284" t="s">
        <v>735</v>
      </c>
      <c r="L26" s="698">
        <v>786.779</v>
      </c>
      <c r="M26" s="696">
        <f t="shared" ref="M26:M39" si="3">L26+M25</f>
        <v>-769.72400000000061</v>
      </c>
      <c r="N26" s="697">
        <f>IF(AND(M25*L26&lt;0,ABS(L26)-ABS(M25)&gt;0),M25,0)</f>
        <v>0</v>
      </c>
      <c r="O26" s="697">
        <f t="shared" ref="O26:O39" si="4">IF(N26&lt;&gt;0,0,IF(M25*L26&gt;=0,M25,M25+L26))</f>
        <v>-769.72400000000061</v>
      </c>
      <c r="P26" s="697">
        <f t="shared" ref="P26:P40" si="5">IF(AND(M25&lt;&gt;0,N26=0),IF(M25+L26&lt;0,-1,IF(M25&lt;0,-1,1))*ABS(L26)+N26,IF(M25+L26&lt;0,-1,1)*ABS(L26)+N26)</f>
        <v>-786.779</v>
      </c>
    </row>
    <row r="27" spans="2:16" x14ac:dyDescent="0.25">
      <c r="B27" s="283" t="s">
        <v>715</v>
      </c>
      <c r="C27" s="698">
        <v>708.30400000000191</v>
      </c>
      <c r="D27" s="696">
        <f t="shared" ref="D27:D30" si="6">C27+D26</f>
        <v>-61.419999999998709</v>
      </c>
      <c r="E27" s="697">
        <f t="shared" ref="E27:E29" si="7">IF(AND(D26*C27&lt;0,ABS(C27)-ABS(D26)&gt;0),D26,0)</f>
        <v>0</v>
      </c>
      <c r="F27" s="697">
        <f t="shared" ref="F27:F30" si="8">IF(E27&lt;&gt;0,0,IF(D26*C27&gt;=0,D26,D26+C27))</f>
        <v>-61.419999999998709</v>
      </c>
      <c r="G27" s="697">
        <f t="shared" ref="G27:G30" si="9">IF(AND(D26&lt;&gt;0,E27=0),IF(D26+C27&lt;0,-1,IF(D26&lt;0,-1,1))*ABS(C27)+E27,IF(D26+C27&lt;0,-1,1)*ABS(C27)+E27)</f>
        <v>-708.30400000000191</v>
      </c>
      <c r="H27" s="569"/>
      <c r="I27" s="569"/>
      <c r="J27" s="569"/>
      <c r="K27" s="284" t="s">
        <v>733</v>
      </c>
      <c r="L27" s="698">
        <v>708.30400000000191</v>
      </c>
      <c r="M27" s="696">
        <f t="shared" si="3"/>
        <v>-61.419999999998709</v>
      </c>
      <c r="N27" s="697">
        <f t="shared" ref="N27:N29" si="10">IF(AND(M26*L27&lt;0,ABS(L27)-ABS(M26)&gt;0),M26,0)</f>
        <v>0</v>
      </c>
      <c r="O27" s="697">
        <f t="shared" si="4"/>
        <v>-61.419999999998709</v>
      </c>
      <c r="P27" s="697">
        <f t="shared" si="5"/>
        <v>-708.30400000000191</v>
      </c>
    </row>
    <row r="28" spans="2:16" x14ac:dyDescent="0.25">
      <c r="B28" s="283" t="s">
        <v>852</v>
      </c>
      <c r="C28" s="698">
        <v>574.37899999999991</v>
      </c>
      <c r="D28" s="696">
        <f t="shared" si="6"/>
        <v>512.9590000000012</v>
      </c>
      <c r="E28" s="697">
        <f t="shared" si="7"/>
        <v>-61.419999999998709</v>
      </c>
      <c r="F28" s="697">
        <f t="shared" si="8"/>
        <v>0</v>
      </c>
      <c r="G28" s="697">
        <f t="shared" si="9"/>
        <v>512.9590000000012</v>
      </c>
      <c r="H28" s="569"/>
      <c r="I28" s="569"/>
      <c r="J28" s="569"/>
      <c r="K28" s="284" t="s">
        <v>857</v>
      </c>
      <c r="L28" s="698">
        <v>574.37899999999991</v>
      </c>
      <c r="M28" s="696">
        <f t="shared" si="3"/>
        <v>512.9590000000012</v>
      </c>
      <c r="N28" s="697">
        <f t="shared" si="10"/>
        <v>-61.419999999998709</v>
      </c>
      <c r="O28" s="697">
        <f t="shared" si="4"/>
        <v>0</v>
      </c>
      <c r="P28" s="697">
        <f t="shared" si="5"/>
        <v>512.9590000000012</v>
      </c>
    </row>
    <row r="29" spans="2:16" x14ac:dyDescent="0.25">
      <c r="B29" s="283" t="s">
        <v>860</v>
      </c>
      <c r="C29" s="698">
        <v>358.51600000000144</v>
      </c>
      <c r="D29" s="696">
        <f t="shared" si="6"/>
        <v>871.47500000000264</v>
      </c>
      <c r="E29" s="697">
        <f t="shared" si="7"/>
        <v>0</v>
      </c>
      <c r="F29" s="697">
        <f t="shared" si="8"/>
        <v>512.9590000000012</v>
      </c>
      <c r="G29" s="697">
        <f t="shared" si="9"/>
        <v>358.51600000000144</v>
      </c>
      <c r="H29" s="569"/>
      <c r="I29" s="569"/>
      <c r="J29" s="569"/>
      <c r="K29" s="284" t="s">
        <v>867</v>
      </c>
      <c r="L29" s="698">
        <v>358.51600000000144</v>
      </c>
      <c r="M29" s="696">
        <f t="shared" si="3"/>
        <v>871.47500000000264</v>
      </c>
      <c r="N29" s="697">
        <f t="shared" si="10"/>
        <v>0</v>
      </c>
      <c r="O29" s="697">
        <f t="shared" si="4"/>
        <v>512.9590000000012</v>
      </c>
      <c r="P29" s="697">
        <f t="shared" si="5"/>
        <v>358.51600000000144</v>
      </c>
    </row>
    <row r="30" spans="2:16" x14ac:dyDescent="0.25">
      <c r="B30" s="283" t="s">
        <v>861</v>
      </c>
      <c r="C30" s="698">
        <v>236.07</v>
      </c>
      <c r="D30" s="696">
        <f t="shared" si="6"/>
        <v>1107.5450000000026</v>
      </c>
      <c r="E30" s="697">
        <f>IF(AND(D29*C30&lt;0,ABS(C30)-ABS(D29)&gt;0),D29,0)</f>
        <v>0</v>
      </c>
      <c r="F30" s="697">
        <f t="shared" si="8"/>
        <v>871.47500000000264</v>
      </c>
      <c r="G30" s="697">
        <f t="shared" si="9"/>
        <v>236.07</v>
      </c>
      <c r="H30" s="569"/>
      <c r="I30" s="569"/>
      <c r="J30" s="569"/>
      <c r="K30" s="284" t="s">
        <v>731</v>
      </c>
      <c r="L30" s="698">
        <v>236.07</v>
      </c>
      <c r="M30" s="696">
        <f t="shared" si="3"/>
        <v>1107.5450000000026</v>
      </c>
      <c r="N30" s="697">
        <f>IF(AND(M29*L30&lt;0,ABS(L30)-ABS(M29)&gt;0),M29,0)</f>
        <v>0</v>
      </c>
      <c r="O30" s="697">
        <f t="shared" si="4"/>
        <v>871.47500000000264</v>
      </c>
      <c r="P30" s="697">
        <f t="shared" si="5"/>
        <v>236.07</v>
      </c>
    </row>
    <row r="31" spans="2:16" x14ac:dyDescent="0.25">
      <c r="B31" s="283" t="s">
        <v>725</v>
      </c>
      <c r="C31" s="698">
        <v>-541.56300000000101</v>
      </c>
      <c r="D31" s="696">
        <f t="shared" ref="D31:D38" si="11">C31+D30</f>
        <v>565.98200000000156</v>
      </c>
      <c r="E31" s="697">
        <f t="shared" ref="E31" si="12">IF(AND(D30*C31&lt;0,ABS(C31)-ABS(D30)&gt;0),D30,0)</f>
        <v>0</v>
      </c>
      <c r="F31" s="697">
        <f t="shared" ref="F31:F38" si="13">IF(E31&lt;&gt;0,0,IF(D30*C31&gt;=0,D30,D30+C31))</f>
        <v>565.98200000000156</v>
      </c>
      <c r="G31" s="697">
        <f t="shared" ref="G31:G38" si="14">IF(AND(D30&lt;&gt;0,E31=0),IF(D30+C31&lt;0,-1,IF(D30&lt;0,-1,1))*ABS(C31)+E31,IF(D30+C31&lt;0,-1,1)*ABS(C31)+E31)</f>
        <v>541.56300000000101</v>
      </c>
      <c r="H31" s="569"/>
      <c r="I31" s="569"/>
      <c r="J31" s="569"/>
      <c r="K31" s="284" t="s">
        <v>732</v>
      </c>
      <c r="L31" s="698">
        <v>-541.56300000000101</v>
      </c>
      <c r="M31" s="696">
        <f t="shared" si="3"/>
        <v>565.98200000000156</v>
      </c>
      <c r="N31" s="697">
        <f t="shared" ref="N31" si="15">IF(AND(M30*L31&lt;0,ABS(L31)-ABS(M30)&gt;0),M30,0)</f>
        <v>0</v>
      </c>
      <c r="O31" s="697">
        <f t="shared" si="4"/>
        <v>565.98200000000156</v>
      </c>
      <c r="P31" s="697">
        <f t="shared" si="5"/>
        <v>541.56300000000101</v>
      </c>
    </row>
    <row r="32" spans="2:16" x14ac:dyDescent="0.25">
      <c r="B32" s="283" t="s">
        <v>862</v>
      </c>
      <c r="C32" s="698">
        <v>-540.19100000000026</v>
      </c>
      <c r="D32" s="696">
        <f t="shared" si="11"/>
        <v>25.791000000001304</v>
      </c>
      <c r="E32" s="697">
        <f>IF(AND(D31*C32&lt;0,ABS(C32)-ABS(D31)&gt;0),D31,0)</f>
        <v>0</v>
      </c>
      <c r="F32" s="697">
        <f t="shared" si="13"/>
        <v>25.791000000001304</v>
      </c>
      <c r="G32" s="697">
        <f t="shared" si="14"/>
        <v>540.19100000000026</v>
      </c>
      <c r="H32" s="569"/>
      <c r="I32" s="569"/>
      <c r="J32" s="569"/>
      <c r="K32" s="284" t="s">
        <v>868</v>
      </c>
      <c r="L32" s="698">
        <v>-540.19100000000026</v>
      </c>
      <c r="M32" s="696">
        <f t="shared" si="3"/>
        <v>25.791000000001304</v>
      </c>
      <c r="N32" s="697">
        <f>IF(AND(M31*L32&lt;0,ABS(L32)-ABS(M31)&gt;0),M31,0)</f>
        <v>0</v>
      </c>
      <c r="O32" s="697">
        <f t="shared" si="4"/>
        <v>25.791000000001304</v>
      </c>
      <c r="P32" s="697">
        <f t="shared" si="5"/>
        <v>540.19100000000026</v>
      </c>
    </row>
    <row r="33" spans="2:16" x14ac:dyDescent="0.25">
      <c r="B33" s="283" t="s">
        <v>723</v>
      </c>
      <c r="C33" s="698">
        <v>-382.79899999999907</v>
      </c>
      <c r="D33" s="696">
        <f t="shared" si="11"/>
        <v>-357.00799999999776</v>
      </c>
      <c r="E33" s="697">
        <f t="shared" ref="E33:E34" si="16">IF(AND(D32*C33&lt;0,ABS(C33)-ABS(D32)&gt;0),D32,0)</f>
        <v>25.791000000001304</v>
      </c>
      <c r="F33" s="697">
        <f t="shared" si="13"/>
        <v>0</v>
      </c>
      <c r="G33" s="697">
        <f t="shared" si="14"/>
        <v>-357.00799999999776</v>
      </c>
      <c r="H33" s="569"/>
      <c r="I33" s="569"/>
      <c r="J33" s="569"/>
      <c r="K33" s="284" t="s">
        <v>730</v>
      </c>
      <c r="L33" s="698">
        <v>-382.79899999999907</v>
      </c>
      <c r="M33" s="696">
        <f t="shared" si="3"/>
        <v>-357.00799999999776</v>
      </c>
      <c r="N33" s="697">
        <f t="shared" ref="N33:N34" si="17">IF(AND(M32*L33&lt;0,ABS(L33)-ABS(M32)&gt;0),M32,0)</f>
        <v>25.791000000001304</v>
      </c>
      <c r="O33" s="697">
        <f t="shared" si="4"/>
        <v>0</v>
      </c>
      <c r="P33" s="697">
        <f t="shared" si="5"/>
        <v>-357.00799999999776</v>
      </c>
    </row>
    <row r="34" spans="2:16" x14ac:dyDescent="0.25">
      <c r="B34" s="283" t="s">
        <v>720</v>
      </c>
      <c r="C34" s="698">
        <v>-326.74000000000069</v>
      </c>
      <c r="D34" s="696">
        <f t="shared" si="11"/>
        <v>-683.74799999999846</v>
      </c>
      <c r="E34" s="697">
        <f t="shared" si="16"/>
        <v>0</v>
      </c>
      <c r="F34" s="697">
        <f t="shared" si="13"/>
        <v>-357.00799999999776</v>
      </c>
      <c r="G34" s="697">
        <f t="shared" si="14"/>
        <v>-326.74000000000069</v>
      </c>
      <c r="H34" s="569"/>
      <c r="I34" s="569"/>
      <c r="J34" s="569"/>
      <c r="K34" s="284" t="s">
        <v>727</v>
      </c>
      <c r="L34" s="698">
        <v>-326.74000000000069</v>
      </c>
      <c r="M34" s="696">
        <f t="shared" si="3"/>
        <v>-683.74799999999846</v>
      </c>
      <c r="N34" s="697">
        <f t="shared" si="17"/>
        <v>0</v>
      </c>
      <c r="O34" s="697">
        <f t="shared" si="4"/>
        <v>-357.00799999999776</v>
      </c>
      <c r="P34" s="697">
        <f t="shared" si="5"/>
        <v>-326.74000000000069</v>
      </c>
    </row>
    <row r="35" spans="2:16" x14ac:dyDescent="0.25">
      <c r="B35" s="283" t="s">
        <v>722</v>
      </c>
      <c r="C35" s="698">
        <v>-190.55999999999949</v>
      </c>
      <c r="D35" s="696">
        <f t="shared" si="11"/>
        <v>-874.30799999999795</v>
      </c>
      <c r="E35" s="697">
        <f>IF(AND(D34*C35&lt;0,ABS(C35)-ABS(D34)&gt;0),D34,0)</f>
        <v>0</v>
      </c>
      <c r="F35" s="697">
        <f t="shared" si="13"/>
        <v>-683.74799999999846</v>
      </c>
      <c r="G35" s="697">
        <f t="shared" si="14"/>
        <v>-190.55999999999949</v>
      </c>
      <c r="H35" s="569"/>
      <c r="I35" s="569"/>
      <c r="J35" s="569"/>
      <c r="K35" s="284" t="s">
        <v>729</v>
      </c>
      <c r="L35" s="698">
        <v>-190.55999999999949</v>
      </c>
      <c r="M35" s="696">
        <f t="shared" si="3"/>
        <v>-874.30799999999795</v>
      </c>
      <c r="N35" s="697">
        <f>IF(AND(M34*L35&lt;0,ABS(L35)-ABS(M34)&gt;0),M34,0)</f>
        <v>0</v>
      </c>
      <c r="O35" s="697">
        <f t="shared" si="4"/>
        <v>-683.74799999999846</v>
      </c>
      <c r="P35" s="697">
        <f t="shared" si="5"/>
        <v>-190.55999999999949</v>
      </c>
    </row>
    <row r="36" spans="2:16" x14ac:dyDescent="0.25">
      <c r="B36" s="283" t="s">
        <v>719</v>
      </c>
      <c r="C36" s="698">
        <v>-186.99800000000005</v>
      </c>
      <c r="D36" s="696">
        <f t="shared" si="11"/>
        <v>-1061.305999999998</v>
      </c>
      <c r="E36" s="697">
        <f t="shared" ref="E36" si="18">IF(AND(D35*C36&lt;0,ABS(C36)-ABS(D35)&gt;0),D35,0)</f>
        <v>0</v>
      </c>
      <c r="F36" s="697">
        <f t="shared" si="13"/>
        <v>-874.30799999999795</v>
      </c>
      <c r="G36" s="697">
        <f t="shared" si="14"/>
        <v>-186.99800000000005</v>
      </c>
      <c r="H36" s="569"/>
      <c r="I36" s="569"/>
      <c r="J36" s="569"/>
      <c r="K36" s="284" t="s">
        <v>726</v>
      </c>
      <c r="L36" s="698">
        <v>-186.99800000000005</v>
      </c>
      <c r="M36" s="696">
        <f t="shared" si="3"/>
        <v>-1061.305999999998</v>
      </c>
      <c r="N36" s="697">
        <f t="shared" ref="N36" si="19">IF(AND(M35*L36&lt;0,ABS(L36)-ABS(M35)&gt;0),M35,0)</f>
        <v>0</v>
      </c>
      <c r="O36" s="697">
        <f t="shared" si="4"/>
        <v>-874.30799999999795</v>
      </c>
      <c r="P36" s="697">
        <f t="shared" si="5"/>
        <v>-186.99800000000005</v>
      </c>
    </row>
    <row r="37" spans="2:16" x14ac:dyDescent="0.25">
      <c r="B37" s="283" t="s">
        <v>721</v>
      </c>
      <c r="C37" s="698">
        <v>-185.13600000000002</v>
      </c>
      <c r="D37" s="696">
        <f t="shared" si="11"/>
        <v>-1246.441999999998</v>
      </c>
      <c r="E37" s="697">
        <f>IF(AND(D36*C37&lt;0,ABS(C37)-ABS(D36)&gt;0),D36,0)</f>
        <v>0</v>
      </c>
      <c r="F37" s="697">
        <f t="shared" si="13"/>
        <v>-1061.305999999998</v>
      </c>
      <c r="G37" s="697">
        <f t="shared" si="14"/>
        <v>-185.13600000000002</v>
      </c>
      <c r="H37" s="569"/>
      <c r="I37" s="569"/>
      <c r="J37" s="569"/>
      <c r="K37" s="284" t="s">
        <v>728</v>
      </c>
      <c r="L37" s="698">
        <v>-185.13600000000002</v>
      </c>
      <c r="M37" s="696">
        <f t="shared" si="3"/>
        <v>-1246.441999999998</v>
      </c>
      <c r="N37" s="697">
        <f>IF(AND(M36*L37&lt;0,ABS(L37)-ABS(M36)&gt;0),M36,0)</f>
        <v>0</v>
      </c>
      <c r="O37" s="697">
        <f t="shared" si="4"/>
        <v>-1061.305999999998</v>
      </c>
      <c r="P37" s="697">
        <f t="shared" si="5"/>
        <v>-185.13600000000002</v>
      </c>
    </row>
    <row r="38" spans="2:16" x14ac:dyDescent="0.25">
      <c r="B38" s="283" t="s">
        <v>863</v>
      </c>
      <c r="C38" s="698">
        <v>-90.551999999999907</v>
      </c>
      <c r="D38" s="696">
        <f t="shared" si="11"/>
        <v>-1336.9939999999979</v>
      </c>
      <c r="E38" s="697">
        <f t="shared" ref="E38" si="20">IF(AND(D37*C38&lt;0,ABS(C38)-ABS(D37)&gt;0),D37,0)</f>
        <v>0</v>
      </c>
      <c r="F38" s="697">
        <f t="shared" si="13"/>
        <v>-1246.441999999998</v>
      </c>
      <c r="G38" s="697">
        <f t="shared" si="14"/>
        <v>-90.551999999999907</v>
      </c>
      <c r="H38" s="569"/>
      <c r="I38" s="569"/>
      <c r="J38" s="569"/>
      <c r="K38" s="284" t="s">
        <v>736</v>
      </c>
      <c r="L38" s="698">
        <v>-90.551999999999907</v>
      </c>
      <c r="M38" s="696">
        <f t="shared" si="3"/>
        <v>-1336.9939999999979</v>
      </c>
      <c r="N38" s="697">
        <f t="shared" ref="N38:N39" si="21">IF(AND(M37*L38&lt;0,ABS(L38)-ABS(M37)&gt;0),M37,0)</f>
        <v>0</v>
      </c>
      <c r="O38" s="697">
        <f t="shared" si="4"/>
        <v>-1246.441999999998</v>
      </c>
      <c r="P38" s="697">
        <f t="shared" si="5"/>
        <v>-90.551999999999907</v>
      </c>
    </row>
    <row r="39" spans="2:16" x14ac:dyDescent="0.25">
      <c r="B39" s="283" t="s">
        <v>864</v>
      </c>
      <c r="C39" s="698">
        <v>-24.542999999999999</v>
      </c>
      <c r="D39" s="696">
        <f t="shared" ref="D39" si="22">C39+D38</f>
        <v>-1361.5369999999978</v>
      </c>
      <c r="E39" s="697">
        <f t="shared" ref="E39" si="23">IF(AND(D38*C39&lt;0,ABS(C39)-ABS(D38)&gt;0),D38,0)</f>
        <v>0</v>
      </c>
      <c r="F39" s="697">
        <f t="shared" ref="F39" si="24">IF(E39&lt;&gt;0,0,IF(D38*C39&gt;=0,D38,D38+C39))</f>
        <v>-1336.9939999999979</v>
      </c>
      <c r="G39" s="697">
        <f t="shared" ref="G39:G40" si="25">IF(AND(D38&lt;&gt;0,E39=0),IF(D38+C39&lt;0,-1,IF(D38&lt;0,-1,1))*ABS(C39)+E39,IF(D38+C39&lt;0,-1,1)*ABS(C39)+E39)</f>
        <v>-24.542999999999999</v>
      </c>
      <c r="H39" s="569"/>
      <c r="I39" s="569"/>
      <c r="J39" s="569"/>
      <c r="K39" s="284" t="s">
        <v>869</v>
      </c>
      <c r="L39" s="698">
        <v>-24.542999999999999</v>
      </c>
      <c r="M39" s="696">
        <f t="shared" si="3"/>
        <v>-1361.5369999999978</v>
      </c>
      <c r="N39" s="697">
        <f t="shared" si="21"/>
        <v>0</v>
      </c>
      <c r="O39" s="697">
        <f t="shared" si="4"/>
        <v>-1336.9939999999979</v>
      </c>
      <c r="P39" s="697">
        <f t="shared" si="5"/>
        <v>-24.542999999999999</v>
      </c>
    </row>
    <row r="40" spans="2:16" ht="14.25" thickBot="1" x14ac:dyDescent="0.3">
      <c r="B40" s="687" t="s">
        <v>332</v>
      </c>
      <c r="C40" s="699">
        <v>-1361.5369999999966</v>
      </c>
      <c r="D40" s="700">
        <f>D25+SUM(C26:C39)</f>
        <v>-1361.5369999999978</v>
      </c>
      <c r="E40" s="701"/>
      <c r="F40" s="701"/>
      <c r="G40" s="701">
        <f t="shared" si="25"/>
        <v>-1361.5369999999966</v>
      </c>
      <c r="H40" s="569"/>
      <c r="I40" s="569"/>
      <c r="J40" s="569"/>
      <c r="K40" s="699" t="s">
        <v>858</v>
      </c>
      <c r="L40" s="699">
        <v>-1361.5369999999966</v>
      </c>
      <c r="M40" s="700">
        <f>M25+SUM(L26:L39)</f>
        <v>-1361.5369999999978</v>
      </c>
      <c r="N40" s="701"/>
      <c r="O40" s="701"/>
      <c r="P40" s="701">
        <f t="shared" si="5"/>
        <v>-1361.5369999999966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B2:AB59"/>
  <sheetViews>
    <sheetView showGridLines="0" zoomScale="85" zoomScaleNormal="85" workbookViewId="0">
      <selection activeCell="I53" sqref="I53"/>
    </sheetView>
  </sheetViews>
  <sheetFormatPr defaultRowHeight="13.5" x14ac:dyDescent="0.25"/>
  <cols>
    <col min="1" max="1" width="17.7109375" style="40" customWidth="1"/>
    <col min="2" max="2" width="34.28515625" style="40" customWidth="1"/>
    <col min="3" max="3" width="32.28515625" style="40" customWidth="1"/>
    <col min="4" max="4" width="9.140625" style="40"/>
    <col min="5" max="5" width="11" style="40" customWidth="1"/>
    <col min="6" max="6" width="9.140625" style="40"/>
    <col min="7" max="7" width="11.42578125" style="40" customWidth="1"/>
    <col min="8" max="16384" width="9.140625" style="40"/>
  </cols>
  <sheetData>
    <row r="2" spans="2:28" ht="15.75" customHeight="1" thickBot="1" x14ac:dyDescent="0.3">
      <c r="B2" s="953" t="s">
        <v>1207</v>
      </c>
      <c r="C2" s="953"/>
      <c r="E2" s="953" t="s">
        <v>1208</v>
      </c>
      <c r="F2" s="953"/>
      <c r="G2" s="953"/>
      <c r="H2" s="953"/>
      <c r="I2" s="953"/>
      <c r="J2" s="953"/>
      <c r="K2" s="953"/>
    </row>
    <row r="13" spans="2:28" x14ac:dyDescent="0.25"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</row>
    <row r="14" spans="2:28" x14ac:dyDescent="0.25"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</row>
    <row r="15" spans="2:28" x14ac:dyDescent="0.25">
      <c r="R15" s="338"/>
      <c r="S15" s="338"/>
      <c r="T15" s="338"/>
      <c r="U15" s="330"/>
      <c r="V15" s="330"/>
      <c r="W15" s="330"/>
      <c r="X15" s="330"/>
      <c r="Y15" s="330"/>
      <c r="Z15" s="330"/>
      <c r="AA15" s="330"/>
      <c r="AB15" s="330"/>
    </row>
    <row r="16" spans="2:28" x14ac:dyDescent="0.25"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</row>
    <row r="17" spans="2:28" x14ac:dyDescent="0.25"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</row>
    <row r="18" spans="2:28" x14ac:dyDescent="0.25"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</row>
    <row r="19" spans="2:28" x14ac:dyDescent="0.25">
      <c r="C19" s="690" t="s">
        <v>21</v>
      </c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</row>
    <row r="20" spans="2:28" ht="14.25" thickBot="1" x14ac:dyDescent="0.3">
      <c r="B20" s="952" t="s">
        <v>1214</v>
      </c>
      <c r="C20" s="952"/>
      <c r="E20" s="951" t="s">
        <v>1214</v>
      </c>
      <c r="F20" s="951"/>
      <c r="G20" s="951"/>
      <c r="H20" s="951"/>
      <c r="I20" s="951"/>
      <c r="J20" s="951"/>
      <c r="K20" s="951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</row>
    <row r="21" spans="2:28" ht="27.75" thickBot="1" x14ac:dyDescent="0.3">
      <c r="B21" s="46" t="s">
        <v>54</v>
      </c>
      <c r="C21" s="329">
        <f>SUM(C22:C25)</f>
        <v>660.34408573197516</v>
      </c>
      <c r="E21" s="334"/>
      <c r="F21" s="335" t="s">
        <v>1213</v>
      </c>
      <c r="G21" s="335" t="s">
        <v>1215</v>
      </c>
      <c r="H21" s="335" t="s">
        <v>1216</v>
      </c>
      <c r="I21" s="336" t="s">
        <v>1217</v>
      </c>
      <c r="J21" s="336" t="s">
        <v>1218</v>
      </c>
      <c r="K21" s="336" t="s">
        <v>1219</v>
      </c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</row>
    <row r="22" spans="2:28" x14ac:dyDescent="0.25">
      <c r="B22" s="330" t="s">
        <v>1209</v>
      </c>
      <c r="C22" s="331">
        <v>119.22957144210649</v>
      </c>
      <c r="E22" s="337" t="s">
        <v>54</v>
      </c>
      <c r="F22" s="338">
        <v>660.34408573197493</v>
      </c>
      <c r="G22" s="338">
        <v>119.22957144210649</v>
      </c>
      <c r="H22" s="338">
        <v>938.42022972234122</v>
      </c>
      <c r="I22" s="338">
        <v>-15.155518041886863</v>
      </c>
      <c r="J22" s="338">
        <v>-56.423686999999973</v>
      </c>
      <c r="K22" s="338">
        <v>-325.72651039058587</v>
      </c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</row>
    <row r="23" spans="2:28" x14ac:dyDescent="0.25">
      <c r="B23" s="330" t="s">
        <v>1210</v>
      </c>
      <c r="C23" s="331">
        <v>938.42022972234122</v>
      </c>
      <c r="E23" s="330" t="s">
        <v>1220</v>
      </c>
      <c r="F23" s="339">
        <v>139.26982248999923</v>
      </c>
      <c r="G23" s="339">
        <v>55.842731549986716</v>
      </c>
      <c r="H23" s="339">
        <v>80.467059672258173</v>
      </c>
      <c r="I23" s="339">
        <v>2.9600312677543257</v>
      </c>
      <c r="J23" s="339">
        <v>0</v>
      </c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</row>
    <row r="24" spans="2:28" x14ac:dyDescent="0.25">
      <c r="B24" s="330" t="s">
        <v>1211</v>
      </c>
      <c r="C24" s="331">
        <v>-15.155518041886863</v>
      </c>
      <c r="E24" s="330" t="s">
        <v>1221</v>
      </c>
      <c r="F24" s="339">
        <v>265.73400000000061</v>
      </c>
      <c r="G24" s="339">
        <v>-54.979091355157443</v>
      </c>
      <c r="H24" s="339">
        <v>316.52662465453778</v>
      </c>
      <c r="I24" s="339">
        <v>4.1864667006202234</v>
      </c>
      <c r="J24" s="339">
        <v>0</v>
      </c>
      <c r="K24" s="339"/>
      <c r="L24" s="330"/>
      <c r="M24" s="330"/>
      <c r="N24" s="330"/>
      <c r="O24" s="691"/>
      <c r="P24" s="691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</row>
    <row r="25" spans="2:28" ht="14.25" thickBot="1" x14ac:dyDescent="0.3">
      <c r="B25" s="332" t="s">
        <v>1212</v>
      </c>
      <c r="C25" s="333">
        <v>-382.15019739058584</v>
      </c>
      <c r="E25" s="330" t="s">
        <v>1222</v>
      </c>
      <c r="F25" s="339">
        <v>-209.31746981460654</v>
      </c>
      <c r="G25" s="339">
        <v>-88.913022073904301</v>
      </c>
      <c r="H25" s="339">
        <v>227.58594964988364</v>
      </c>
      <c r="I25" s="339">
        <v>0</v>
      </c>
      <c r="J25" s="340">
        <v>-72.263887000000011</v>
      </c>
      <c r="K25" s="340">
        <v>-275.72651039058587</v>
      </c>
      <c r="L25" s="338"/>
      <c r="M25" s="692"/>
      <c r="N25" s="692"/>
      <c r="O25" s="692"/>
      <c r="P25" s="692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</row>
    <row r="26" spans="2:28" x14ac:dyDescent="0.25">
      <c r="E26" s="330" t="s">
        <v>1223</v>
      </c>
      <c r="F26" s="339">
        <v>11.337105560000156</v>
      </c>
      <c r="G26" s="339">
        <v>12.038002533686644</v>
      </c>
      <c r="H26" s="339">
        <v>49.29910302631351</v>
      </c>
      <c r="I26" s="339">
        <v>0</v>
      </c>
      <c r="J26" s="340">
        <v>0</v>
      </c>
      <c r="K26" s="340">
        <v>-50</v>
      </c>
      <c r="L26" s="338"/>
      <c r="M26" s="693"/>
      <c r="N26" s="693"/>
      <c r="O26" s="693"/>
      <c r="P26" s="693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</row>
    <row r="27" spans="2:28" ht="14.25" thickBot="1" x14ac:dyDescent="0.3">
      <c r="B27" s="643" t="s">
        <v>1238</v>
      </c>
      <c r="C27" s="52"/>
      <c r="E27" s="330" t="s">
        <v>1224</v>
      </c>
      <c r="F27" s="339">
        <v>260.80360704658045</v>
      </c>
      <c r="G27" s="339">
        <v>149.01906423154651</v>
      </c>
      <c r="H27" s="339">
        <v>111.78454281503393</v>
      </c>
      <c r="I27" s="339">
        <v>0</v>
      </c>
      <c r="J27" s="339">
        <v>0</v>
      </c>
      <c r="K27" s="339"/>
      <c r="L27" s="338"/>
      <c r="M27" s="693"/>
      <c r="N27" s="693"/>
      <c r="O27" s="693"/>
      <c r="P27" s="693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</row>
    <row r="28" spans="2:28" x14ac:dyDescent="0.25">
      <c r="E28" s="330" t="s">
        <v>1225</v>
      </c>
      <c r="F28" s="339">
        <v>126.17249412000109</v>
      </c>
      <c r="G28" s="339">
        <v>67.281977794484874</v>
      </c>
      <c r="H28" s="339">
        <v>78.236805330013283</v>
      </c>
      <c r="I28" s="339">
        <v>-19.346289004497056</v>
      </c>
      <c r="J28" s="339">
        <v>0</v>
      </c>
      <c r="K28" s="339"/>
      <c r="L28" s="338"/>
      <c r="M28" s="693"/>
      <c r="N28" s="693"/>
      <c r="O28" s="693"/>
      <c r="P28" s="693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</row>
    <row r="29" spans="2:28" ht="14.25" thickBot="1" x14ac:dyDescent="0.3">
      <c r="E29" s="332" t="s">
        <v>1226</v>
      </c>
      <c r="F29" s="341">
        <v>66.344526330000008</v>
      </c>
      <c r="G29" s="341">
        <v>-21.060091238536515</v>
      </c>
      <c r="H29" s="341">
        <v>74.520144574300957</v>
      </c>
      <c r="I29" s="341">
        <v>-2.9557270057643557</v>
      </c>
      <c r="J29" s="341">
        <v>15.840200000000038</v>
      </c>
      <c r="K29" s="341">
        <v>0</v>
      </c>
      <c r="L29" s="338"/>
      <c r="M29" s="693"/>
      <c r="N29" s="693"/>
      <c r="O29" s="693"/>
      <c r="P29" s="693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</row>
    <row r="30" spans="2:28" x14ac:dyDescent="0.25">
      <c r="L30" s="338"/>
      <c r="M30" s="693"/>
      <c r="N30" s="693"/>
      <c r="O30" s="693"/>
      <c r="P30" s="693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</row>
    <row r="31" spans="2:28" x14ac:dyDescent="0.25">
      <c r="L31" s="338"/>
      <c r="M31" s="693"/>
      <c r="N31" s="693"/>
      <c r="O31" s="693"/>
      <c r="P31" s="693"/>
      <c r="Q31" s="330"/>
      <c r="R31" s="330"/>
      <c r="S31" s="330"/>
      <c r="T31" s="330"/>
      <c r="U31" s="330"/>
      <c r="V31" s="330"/>
      <c r="W31" s="330"/>
      <c r="X31" s="330"/>
      <c r="Y31" s="330"/>
      <c r="Z31" s="330"/>
      <c r="AA31" s="330"/>
      <c r="AB31" s="330"/>
    </row>
    <row r="32" spans="2:28" ht="14.25" thickBot="1" x14ac:dyDescent="0.3">
      <c r="E32" s="952" t="s">
        <v>1239</v>
      </c>
      <c r="F32" s="952"/>
      <c r="G32" s="952"/>
      <c r="H32" s="952"/>
      <c r="I32" s="952"/>
      <c r="J32" s="952"/>
      <c r="K32" s="952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</row>
    <row r="33" spans="2:28" x14ac:dyDescent="0.25"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</row>
    <row r="34" spans="2:28" x14ac:dyDescent="0.25"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</row>
    <row r="35" spans="2:28" x14ac:dyDescent="0.25"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</row>
    <row r="44" spans="2:28" ht="14.25" thickBot="1" x14ac:dyDescent="0.3">
      <c r="B44" s="952" t="s">
        <v>1240</v>
      </c>
      <c r="C44" s="952"/>
    </row>
    <row r="45" spans="2:28" ht="14.25" thickBot="1" x14ac:dyDescent="0.3">
      <c r="B45" s="53" t="s">
        <v>451</v>
      </c>
      <c r="C45" s="342">
        <f>SUM(C46:C49)</f>
        <v>660.34408573197516</v>
      </c>
    </row>
    <row r="46" spans="2:28" x14ac:dyDescent="0.25">
      <c r="B46" s="330" t="s">
        <v>1236</v>
      </c>
      <c r="C46" s="331">
        <v>119.22957144210649</v>
      </c>
    </row>
    <row r="47" spans="2:28" x14ac:dyDescent="0.25">
      <c r="B47" s="343" t="s">
        <v>1233</v>
      </c>
      <c r="C47" s="331">
        <v>938.42022972234122</v>
      </c>
    </row>
    <row r="48" spans="2:28" x14ac:dyDescent="0.25">
      <c r="B48" s="330" t="s">
        <v>1237</v>
      </c>
      <c r="C48" s="331">
        <v>-15.155518041886863</v>
      </c>
    </row>
    <row r="49" spans="2:11" ht="14.25" thickBot="1" x14ac:dyDescent="0.3">
      <c r="B49" s="332" t="s">
        <v>1235</v>
      </c>
      <c r="C49" s="333">
        <v>-382.15019739058584</v>
      </c>
    </row>
    <row r="50" spans="2:11" ht="14.25" thickBot="1" x14ac:dyDescent="0.3">
      <c r="C50" s="694" t="s">
        <v>345</v>
      </c>
      <c r="E50" s="951" t="s">
        <v>1240</v>
      </c>
      <c r="F50" s="951"/>
      <c r="G50" s="951"/>
      <c r="H50" s="951"/>
      <c r="I50" s="951"/>
      <c r="J50" s="951"/>
      <c r="K50" s="951"/>
    </row>
    <row r="51" spans="2:11" ht="27.75" thickBot="1" x14ac:dyDescent="0.3">
      <c r="E51" s="334"/>
      <c r="F51" s="335" t="s">
        <v>451</v>
      </c>
      <c r="G51" s="336" t="s">
        <v>1236</v>
      </c>
      <c r="H51" s="335" t="s">
        <v>1233</v>
      </c>
      <c r="I51" s="336" t="s">
        <v>1234</v>
      </c>
      <c r="J51" s="336" t="s">
        <v>1235</v>
      </c>
      <c r="K51" s="336" t="s">
        <v>1241</v>
      </c>
    </row>
    <row r="52" spans="2:11" x14ac:dyDescent="0.25">
      <c r="E52" s="337" t="s">
        <v>451</v>
      </c>
      <c r="F52" s="338">
        <v>660.34408573197493</v>
      </c>
      <c r="G52" s="338">
        <v>119.22957144210649</v>
      </c>
      <c r="H52" s="338">
        <v>938.42022972234122</v>
      </c>
      <c r="I52" s="338">
        <v>-15.155518041886863</v>
      </c>
      <c r="J52" s="338">
        <v>-56.423686999999973</v>
      </c>
      <c r="K52" s="338">
        <v>-325.72651039058587</v>
      </c>
    </row>
    <row r="53" spans="2:11" x14ac:dyDescent="0.25">
      <c r="E53" s="330" t="s">
        <v>1227</v>
      </c>
      <c r="F53" s="339">
        <v>139.26982248999923</v>
      </c>
      <c r="G53" s="339">
        <v>55.842731549986716</v>
      </c>
      <c r="H53" s="339">
        <v>80.467059672258173</v>
      </c>
      <c r="I53" s="339">
        <v>2.9600312677543257</v>
      </c>
      <c r="J53" s="339">
        <v>0</v>
      </c>
      <c r="K53" s="330"/>
    </row>
    <row r="54" spans="2:11" x14ac:dyDescent="0.25">
      <c r="E54" s="330" t="s">
        <v>1228</v>
      </c>
      <c r="F54" s="339">
        <v>265.73400000000061</v>
      </c>
      <c r="G54" s="339">
        <v>-54.979091355157443</v>
      </c>
      <c r="H54" s="339">
        <v>316.52662465453778</v>
      </c>
      <c r="I54" s="339">
        <v>4.1864667006202234</v>
      </c>
      <c r="J54" s="339">
        <v>0</v>
      </c>
      <c r="K54" s="339"/>
    </row>
    <row r="55" spans="2:11" x14ac:dyDescent="0.25">
      <c r="E55" s="330" t="s">
        <v>1229</v>
      </c>
      <c r="F55" s="339">
        <v>-209.31746981460654</v>
      </c>
      <c r="G55" s="339">
        <v>-88.913022073904301</v>
      </c>
      <c r="H55" s="339">
        <v>227.58594964988364</v>
      </c>
      <c r="I55" s="339">
        <v>0</v>
      </c>
      <c r="J55" s="340">
        <v>-72.263887000000011</v>
      </c>
      <c r="K55" s="340">
        <v>-275.72651039058587</v>
      </c>
    </row>
    <row r="56" spans="2:11" x14ac:dyDescent="0.25">
      <c r="E56" s="330" t="s">
        <v>1230</v>
      </c>
      <c r="F56" s="339">
        <v>11.337105560000156</v>
      </c>
      <c r="G56" s="339">
        <v>12.038002533686644</v>
      </c>
      <c r="H56" s="339">
        <v>49.29910302631351</v>
      </c>
      <c r="I56" s="339">
        <v>0</v>
      </c>
      <c r="J56" s="340">
        <v>0</v>
      </c>
      <c r="K56" s="340">
        <v>-50</v>
      </c>
    </row>
    <row r="57" spans="2:11" x14ac:dyDescent="0.25">
      <c r="E57" s="330" t="s">
        <v>1231</v>
      </c>
      <c r="F57" s="339">
        <v>260.80360704658045</v>
      </c>
      <c r="G57" s="339">
        <v>149.01906423154651</v>
      </c>
      <c r="H57" s="339">
        <v>111.78454281503393</v>
      </c>
      <c r="I57" s="339">
        <v>0</v>
      </c>
      <c r="J57" s="339">
        <v>0</v>
      </c>
      <c r="K57" s="339"/>
    </row>
    <row r="58" spans="2:11" x14ac:dyDescent="0.25">
      <c r="E58" s="330" t="s">
        <v>1232</v>
      </c>
      <c r="F58" s="339">
        <v>126.17249412000109</v>
      </c>
      <c r="G58" s="339">
        <v>67.281977794484874</v>
      </c>
      <c r="H58" s="339">
        <v>78.236805330013283</v>
      </c>
      <c r="I58" s="339">
        <v>-19.346289004497056</v>
      </c>
      <c r="J58" s="339">
        <v>0</v>
      </c>
      <c r="K58" s="339"/>
    </row>
    <row r="59" spans="2:11" ht="14.25" thickBot="1" x14ac:dyDescent="0.3">
      <c r="E59" s="332" t="s">
        <v>457</v>
      </c>
      <c r="F59" s="341">
        <v>66.344526330000008</v>
      </c>
      <c r="G59" s="341">
        <v>-21.060091238536515</v>
      </c>
      <c r="H59" s="341">
        <v>74.520144574300957</v>
      </c>
      <c r="I59" s="341">
        <v>-2.9557270057643557</v>
      </c>
      <c r="J59" s="341">
        <v>15.840200000000038</v>
      </c>
      <c r="K59" s="341">
        <v>0</v>
      </c>
    </row>
  </sheetData>
  <mergeCells count="7">
    <mergeCell ref="E50:K50"/>
    <mergeCell ref="E32:K32"/>
    <mergeCell ref="B20:C20"/>
    <mergeCell ref="B2:C2"/>
    <mergeCell ref="B44:C44"/>
    <mergeCell ref="E2:K2"/>
    <mergeCell ref="E20:K20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3:O43"/>
  <sheetViews>
    <sheetView showGridLines="0" zoomScale="85" zoomScaleNormal="85" workbookViewId="0">
      <selection activeCell="C57" sqref="C57"/>
    </sheetView>
  </sheetViews>
  <sheetFormatPr defaultRowHeight="13.5" x14ac:dyDescent="0.25"/>
  <cols>
    <col min="1" max="1" width="54.42578125" style="40" bestFit="1" customWidth="1"/>
    <col min="2" max="3" width="11.140625" style="40" customWidth="1"/>
    <col min="4" max="9" width="9.140625" style="40"/>
    <col min="10" max="10" width="46.42578125" style="40" bestFit="1" customWidth="1"/>
    <col min="11" max="11" width="9.140625" style="40"/>
    <col min="12" max="12" width="8.5703125" style="40" bestFit="1" customWidth="1"/>
    <col min="13" max="16384" width="9.140625" style="40"/>
  </cols>
  <sheetData>
    <row r="3" spans="1:15" ht="14.25" thickBot="1" x14ac:dyDescent="0.3">
      <c r="A3" s="951" t="s">
        <v>1037</v>
      </c>
      <c r="B3" s="951"/>
      <c r="C3" s="951"/>
      <c r="D3" s="951"/>
      <c r="E3" s="951"/>
      <c r="F3" s="951"/>
      <c r="J3" s="951" t="s">
        <v>1038</v>
      </c>
      <c r="K3" s="951"/>
      <c r="L3" s="951"/>
      <c r="M3" s="951"/>
      <c r="N3" s="951"/>
      <c r="O3" s="951"/>
    </row>
    <row r="5" spans="1:15" x14ac:dyDescent="0.25">
      <c r="A5" s="419"/>
      <c r="B5" s="35"/>
    </row>
    <row r="25" spans="1:15" ht="27" x14ac:dyDescent="0.25">
      <c r="A25" s="678" t="s">
        <v>687</v>
      </c>
      <c r="B25" s="679" t="s">
        <v>325</v>
      </c>
      <c r="C25" s="679" t="s">
        <v>326</v>
      </c>
      <c r="D25" s="679" t="s">
        <v>327</v>
      </c>
      <c r="E25" s="679" t="s">
        <v>328</v>
      </c>
      <c r="F25" s="679" t="s">
        <v>329</v>
      </c>
      <c r="J25" s="680" t="s">
        <v>866</v>
      </c>
      <c r="K25" s="681" t="s">
        <v>542</v>
      </c>
      <c r="L25" s="681" t="s">
        <v>543</v>
      </c>
      <c r="M25" s="681" t="s">
        <v>544</v>
      </c>
      <c r="N25" s="681" t="s">
        <v>545</v>
      </c>
      <c r="O25" s="681" t="s">
        <v>546</v>
      </c>
    </row>
    <row r="26" spans="1:15" x14ac:dyDescent="0.25">
      <c r="A26" s="682" t="s">
        <v>331</v>
      </c>
      <c r="B26" s="683">
        <v>-1083.4889999999941</v>
      </c>
      <c r="C26" s="684">
        <f>B26</f>
        <v>-1083.4889999999941</v>
      </c>
      <c r="D26" s="684"/>
      <c r="E26" s="684"/>
      <c r="F26" s="684">
        <f>B26</f>
        <v>-1083.4889999999941</v>
      </c>
      <c r="J26" s="682" t="s">
        <v>714</v>
      </c>
      <c r="K26" s="683">
        <v>-1083.4889999999941</v>
      </c>
      <c r="L26" s="684">
        <f>K26</f>
        <v>-1083.4889999999941</v>
      </c>
      <c r="M26" s="684"/>
      <c r="N26" s="684"/>
      <c r="O26" s="684">
        <f>K26</f>
        <v>-1083.4889999999941</v>
      </c>
    </row>
    <row r="27" spans="1:15" x14ac:dyDescent="0.25">
      <c r="A27" s="685" t="s">
        <v>715</v>
      </c>
      <c r="B27" s="686">
        <v>181.84000000000015</v>
      </c>
      <c r="C27" s="684">
        <f t="shared" ref="C27" si="0">B27+C26</f>
        <v>-901.64899999999398</v>
      </c>
      <c r="D27" s="684">
        <f t="shared" ref="D27" si="1">IF(AND(C26*B27&lt;0,ABS(B27)-ABS(C26)&gt;0),C26,0)</f>
        <v>0</v>
      </c>
      <c r="E27" s="684">
        <f t="shared" ref="E27" si="2">IF(D27&lt;&gt;0,0,IF(C26*B27&gt;=0,C26,C26+B27))</f>
        <v>-901.64899999999398</v>
      </c>
      <c r="F27" s="684">
        <f t="shared" ref="F27" si="3">IF(AND(C26&lt;&gt;0,D27=0),IF(C26+B27&lt;0,-1,IF(C26&lt;0,-1,1))*ABS(B27)+D27,IF(C26+B27&lt;0,-1,1)*ABS(B27)+D27)</f>
        <v>-181.84000000000015</v>
      </c>
      <c r="J27" s="685" t="s">
        <v>733</v>
      </c>
      <c r="K27" s="686">
        <v>181.84000000000015</v>
      </c>
      <c r="L27" s="684">
        <f t="shared" ref="L27:L40" si="4">K27+L26</f>
        <v>-901.64899999999398</v>
      </c>
      <c r="M27" s="684">
        <f t="shared" ref="M27:M40" si="5">IF(AND(L26*K27&lt;0,ABS(K27)-ABS(L26)&gt;0),L26,0)</f>
        <v>0</v>
      </c>
      <c r="N27" s="684">
        <f t="shared" ref="N27:N40" si="6">IF(M27&lt;&gt;0,0,IF(L26*K27&gt;=0,L26,L26+K27))</f>
        <v>-901.64899999999398</v>
      </c>
      <c r="O27" s="684">
        <f t="shared" ref="O27:O41" si="7">IF(AND(L26&lt;&gt;0,M27=0),IF(L26+K27&lt;0,-1,IF(L26&lt;0,-1,1))*ABS(K27)+M27,IF(L26+K27&lt;0,-1,1)*ABS(K27)+M27)</f>
        <v>-181.84000000000015</v>
      </c>
    </row>
    <row r="28" spans="1:15" x14ac:dyDescent="0.25">
      <c r="A28" s="685" t="s">
        <v>716</v>
      </c>
      <c r="B28" s="686">
        <v>169.24300000000039</v>
      </c>
      <c r="C28" s="684">
        <f t="shared" ref="C28:C40" si="8">B28+C27</f>
        <v>-732.40599999999358</v>
      </c>
      <c r="D28" s="684">
        <f t="shared" ref="D28:D40" si="9">IF(AND(C27*B28&lt;0,ABS(B28)-ABS(C27)&gt;0),C27,0)</f>
        <v>0</v>
      </c>
      <c r="E28" s="684">
        <f t="shared" ref="E28:E40" si="10">IF(D28&lt;&gt;0,0,IF(C27*B28&gt;=0,C27,C27+B28))</f>
        <v>-732.40599999999358</v>
      </c>
      <c r="F28" s="684">
        <f t="shared" ref="F28:F41" si="11">IF(AND(C27&lt;&gt;0,D28=0),IF(C27+B28&lt;0,-1,IF(C27&lt;0,-1,1))*ABS(B28)+D28,IF(C27+B28&lt;0,-1,1)*ABS(B28)+D28)</f>
        <v>-169.24300000000039</v>
      </c>
      <c r="J28" s="685" t="s">
        <v>734</v>
      </c>
      <c r="K28" s="686">
        <v>169.24300000000039</v>
      </c>
      <c r="L28" s="684">
        <f t="shared" si="4"/>
        <v>-732.40599999999358</v>
      </c>
      <c r="M28" s="684">
        <f t="shared" si="5"/>
        <v>0</v>
      </c>
      <c r="N28" s="684">
        <f t="shared" si="6"/>
        <v>-732.40599999999358</v>
      </c>
      <c r="O28" s="684">
        <f t="shared" si="7"/>
        <v>-169.24300000000039</v>
      </c>
    </row>
    <row r="29" spans="1:15" x14ac:dyDescent="0.25">
      <c r="A29" s="685" t="s">
        <v>852</v>
      </c>
      <c r="B29" s="686">
        <v>135.71699999999987</v>
      </c>
      <c r="C29" s="684">
        <f t="shared" si="8"/>
        <v>-596.68899999999371</v>
      </c>
      <c r="D29" s="684">
        <f t="shared" si="9"/>
        <v>0</v>
      </c>
      <c r="E29" s="684">
        <f t="shared" si="10"/>
        <v>-596.68899999999371</v>
      </c>
      <c r="F29" s="684">
        <f t="shared" si="11"/>
        <v>-135.71699999999987</v>
      </c>
      <c r="J29" s="685" t="s">
        <v>857</v>
      </c>
      <c r="K29" s="686">
        <v>135.71699999999987</v>
      </c>
      <c r="L29" s="684">
        <f t="shared" si="4"/>
        <v>-596.68899999999371</v>
      </c>
      <c r="M29" s="684">
        <f t="shared" si="5"/>
        <v>0</v>
      </c>
      <c r="N29" s="684">
        <f t="shared" si="6"/>
        <v>-596.68899999999371</v>
      </c>
      <c r="O29" s="684">
        <f t="shared" si="7"/>
        <v>-135.71699999999987</v>
      </c>
    </row>
    <row r="30" spans="1:15" x14ac:dyDescent="0.25">
      <c r="A30" s="685" t="s">
        <v>717</v>
      </c>
      <c r="B30" s="686">
        <v>53.559999999999945</v>
      </c>
      <c r="C30" s="684">
        <f t="shared" si="8"/>
        <v>-543.12899999999377</v>
      </c>
      <c r="D30" s="684">
        <f t="shared" si="9"/>
        <v>0</v>
      </c>
      <c r="E30" s="684">
        <f t="shared" si="10"/>
        <v>-543.12899999999377</v>
      </c>
      <c r="F30" s="684">
        <f t="shared" si="11"/>
        <v>-53.559999999999945</v>
      </c>
      <c r="J30" s="685" t="s">
        <v>735</v>
      </c>
      <c r="K30" s="686">
        <v>53.559999999999945</v>
      </c>
      <c r="L30" s="684">
        <f t="shared" si="4"/>
        <v>-543.12899999999377</v>
      </c>
      <c r="M30" s="684">
        <f t="shared" si="5"/>
        <v>0</v>
      </c>
      <c r="N30" s="684">
        <f t="shared" si="6"/>
        <v>-543.12899999999377</v>
      </c>
      <c r="O30" s="684">
        <f t="shared" si="7"/>
        <v>-53.559999999999945</v>
      </c>
    </row>
    <row r="31" spans="1:15" x14ac:dyDescent="0.25">
      <c r="A31" s="685" t="s">
        <v>718</v>
      </c>
      <c r="B31" s="686">
        <v>20.466999999999871</v>
      </c>
      <c r="C31" s="684">
        <f t="shared" si="8"/>
        <v>-522.6619999999939</v>
      </c>
      <c r="D31" s="684">
        <f t="shared" si="9"/>
        <v>0</v>
      </c>
      <c r="E31" s="684">
        <f t="shared" si="10"/>
        <v>-522.6619999999939</v>
      </c>
      <c r="F31" s="684">
        <f t="shared" si="11"/>
        <v>-20.466999999999871</v>
      </c>
      <c r="J31" s="685" t="s">
        <v>736</v>
      </c>
      <c r="K31" s="686">
        <v>20.466999999999871</v>
      </c>
      <c r="L31" s="684">
        <f t="shared" si="4"/>
        <v>-522.6619999999939</v>
      </c>
      <c r="M31" s="684">
        <f t="shared" si="5"/>
        <v>0</v>
      </c>
      <c r="N31" s="684">
        <f t="shared" si="6"/>
        <v>-522.6619999999939</v>
      </c>
      <c r="O31" s="684">
        <f t="shared" si="7"/>
        <v>-20.466999999999871</v>
      </c>
    </row>
    <row r="32" spans="1:15" x14ac:dyDescent="0.25">
      <c r="A32" s="685" t="s">
        <v>725</v>
      </c>
      <c r="B32" s="686">
        <v>-159.51000000000022</v>
      </c>
      <c r="C32" s="684">
        <f t="shared" si="8"/>
        <v>-682.17199999999411</v>
      </c>
      <c r="D32" s="684">
        <f t="shared" si="9"/>
        <v>0</v>
      </c>
      <c r="E32" s="684">
        <f t="shared" si="10"/>
        <v>-522.6619999999939</v>
      </c>
      <c r="F32" s="684">
        <f t="shared" si="11"/>
        <v>-159.51000000000022</v>
      </c>
      <c r="J32" s="685" t="s">
        <v>732</v>
      </c>
      <c r="K32" s="686">
        <v>-159.51000000000022</v>
      </c>
      <c r="L32" s="684">
        <f t="shared" si="4"/>
        <v>-682.17199999999411</v>
      </c>
      <c r="M32" s="684">
        <f t="shared" si="5"/>
        <v>0</v>
      </c>
      <c r="N32" s="684">
        <f t="shared" si="6"/>
        <v>-522.6619999999939</v>
      </c>
      <c r="O32" s="684">
        <f t="shared" si="7"/>
        <v>-159.51000000000022</v>
      </c>
    </row>
    <row r="33" spans="1:15" x14ac:dyDescent="0.25">
      <c r="A33" s="685" t="s">
        <v>719</v>
      </c>
      <c r="B33" s="686">
        <v>-142.47064299999988</v>
      </c>
      <c r="C33" s="684">
        <f t="shared" si="8"/>
        <v>-824.642642999994</v>
      </c>
      <c r="D33" s="684">
        <f t="shared" si="9"/>
        <v>0</v>
      </c>
      <c r="E33" s="684">
        <f t="shared" si="10"/>
        <v>-682.17199999999411</v>
      </c>
      <c r="F33" s="684">
        <f t="shared" si="11"/>
        <v>-142.47064299999988</v>
      </c>
      <c r="J33" s="685" t="s">
        <v>726</v>
      </c>
      <c r="K33" s="686">
        <v>-142.47064299999988</v>
      </c>
      <c r="L33" s="684">
        <f t="shared" si="4"/>
        <v>-824.642642999994</v>
      </c>
      <c r="M33" s="684">
        <f t="shared" si="5"/>
        <v>0</v>
      </c>
      <c r="N33" s="684">
        <f t="shared" si="6"/>
        <v>-682.17199999999411</v>
      </c>
      <c r="O33" s="684">
        <f t="shared" si="7"/>
        <v>-142.47064299999988</v>
      </c>
    </row>
    <row r="34" spans="1:15" x14ac:dyDescent="0.25">
      <c r="A34" s="685" t="s">
        <v>853</v>
      </c>
      <c r="B34" s="686">
        <v>-73.478357000000017</v>
      </c>
      <c r="C34" s="684">
        <f t="shared" si="8"/>
        <v>-898.12099999999396</v>
      </c>
      <c r="D34" s="684">
        <f t="shared" si="9"/>
        <v>0</v>
      </c>
      <c r="E34" s="684">
        <f t="shared" si="10"/>
        <v>-824.642642999994</v>
      </c>
      <c r="F34" s="684">
        <f t="shared" si="11"/>
        <v>-73.478357000000017</v>
      </c>
      <c r="J34" s="685" t="s">
        <v>856</v>
      </c>
      <c r="K34" s="686">
        <v>-73.478357000000017</v>
      </c>
      <c r="L34" s="684">
        <f t="shared" si="4"/>
        <v>-898.12099999999396</v>
      </c>
      <c r="M34" s="684">
        <f t="shared" si="5"/>
        <v>0</v>
      </c>
      <c r="N34" s="684">
        <f t="shared" si="6"/>
        <v>-824.642642999994</v>
      </c>
      <c r="O34" s="684">
        <f t="shared" si="7"/>
        <v>-73.478357000000017</v>
      </c>
    </row>
    <row r="35" spans="1:15" x14ac:dyDescent="0.25">
      <c r="A35" s="685" t="s">
        <v>721</v>
      </c>
      <c r="B35" s="686">
        <v>-45.173000000000002</v>
      </c>
      <c r="C35" s="684">
        <f t="shared" si="8"/>
        <v>-943.29399999999396</v>
      </c>
      <c r="D35" s="684">
        <f t="shared" si="9"/>
        <v>0</v>
      </c>
      <c r="E35" s="684">
        <f t="shared" si="10"/>
        <v>-898.12099999999396</v>
      </c>
      <c r="F35" s="684">
        <f t="shared" si="11"/>
        <v>-45.173000000000002</v>
      </c>
      <c r="J35" s="685" t="s">
        <v>728</v>
      </c>
      <c r="K35" s="686">
        <v>-45.173000000000002</v>
      </c>
      <c r="L35" s="684">
        <f t="shared" si="4"/>
        <v>-943.29399999999396</v>
      </c>
      <c r="M35" s="684">
        <f t="shared" si="5"/>
        <v>0</v>
      </c>
      <c r="N35" s="684">
        <f t="shared" si="6"/>
        <v>-898.12099999999396</v>
      </c>
      <c r="O35" s="684">
        <f t="shared" si="7"/>
        <v>-45.173000000000002</v>
      </c>
    </row>
    <row r="36" spans="1:15" x14ac:dyDescent="0.25">
      <c r="A36" s="685" t="s">
        <v>722</v>
      </c>
      <c r="B36" s="686">
        <v>-37.280999999999949</v>
      </c>
      <c r="C36" s="684">
        <f t="shared" si="8"/>
        <v>-980.57499999999391</v>
      </c>
      <c r="D36" s="684">
        <f t="shared" si="9"/>
        <v>0</v>
      </c>
      <c r="E36" s="684">
        <f t="shared" si="10"/>
        <v>-943.29399999999396</v>
      </c>
      <c r="F36" s="684">
        <f t="shared" si="11"/>
        <v>-37.280999999999949</v>
      </c>
      <c r="J36" s="685" t="s">
        <v>729</v>
      </c>
      <c r="K36" s="686">
        <v>-37.280999999999949</v>
      </c>
      <c r="L36" s="684">
        <f t="shared" si="4"/>
        <v>-980.57499999999391</v>
      </c>
      <c r="M36" s="684">
        <f t="shared" si="5"/>
        <v>0</v>
      </c>
      <c r="N36" s="684">
        <f t="shared" si="6"/>
        <v>-943.29399999999396</v>
      </c>
      <c r="O36" s="684">
        <f t="shared" si="7"/>
        <v>-37.280999999999949</v>
      </c>
    </row>
    <row r="37" spans="1:15" x14ac:dyDescent="0.25">
      <c r="A37" s="685" t="s">
        <v>723</v>
      </c>
      <c r="B37" s="686">
        <v>-32.634000000000015</v>
      </c>
      <c r="C37" s="684">
        <f t="shared" si="8"/>
        <v>-1013.2089999999939</v>
      </c>
      <c r="D37" s="684">
        <f t="shared" si="9"/>
        <v>0</v>
      </c>
      <c r="E37" s="684">
        <f t="shared" si="10"/>
        <v>-980.57499999999391</v>
      </c>
      <c r="F37" s="684">
        <f t="shared" si="11"/>
        <v>-32.634000000000015</v>
      </c>
      <c r="J37" s="685" t="s">
        <v>730</v>
      </c>
      <c r="K37" s="686">
        <v>-32.634000000000015</v>
      </c>
      <c r="L37" s="684">
        <f t="shared" si="4"/>
        <v>-1013.2089999999939</v>
      </c>
      <c r="M37" s="684">
        <f t="shared" si="5"/>
        <v>0</v>
      </c>
      <c r="N37" s="684">
        <f t="shared" si="6"/>
        <v>-980.57499999999391</v>
      </c>
      <c r="O37" s="684">
        <f t="shared" si="7"/>
        <v>-32.634000000000015</v>
      </c>
    </row>
    <row r="38" spans="1:15" x14ac:dyDescent="0.25">
      <c r="A38" s="685" t="s">
        <v>720</v>
      </c>
      <c r="B38" s="686">
        <v>-15.457000000000335</v>
      </c>
      <c r="C38" s="684">
        <f t="shared" si="8"/>
        <v>-1028.6659999999943</v>
      </c>
      <c r="D38" s="684">
        <f t="shared" si="9"/>
        <v>0</v>
      </c>
      <c r="E38" s="684">
        <f t="shared" si="10"/>
        <v>-1013.2089999999939</v>
      </c>
      <c r="F38" s="684">
        <f t="shared" si="11"/>
        <v>-15.457000000000335</v>
      </c>
      <c r="J38" s="685" t="s">
        <v>727</v>
      </c>
      <c r="K38" s="686">
        <v>-15.457000000000335</v>
      </c>
      <c r="L38" s="684">
        <f t="shared" si="4"/>
        <v>-1028.6659999999943</v>
      </c>
      <c r="M38" s="684">
        <f t="shared" si="5"/>
        <v>0</v>
      </c>
      <c r="N38" s="684">
        <f t="shared" si="6"/>
        <v>-1013.2089999999939</v>
      </c>
      <c r="O38" s="684">
        <f t="shared" si="7"/>
        <v>-15.457000000000335</v>
      </c>
    </row>
    <row r="39" spans="1:15" x14ac:dyDescent="0.25">
      <c r="A39" s="685" t="s">
        <v>724</v>
      </c>
      <c r="B39" s="686">
        <v>-12</v>
      </c>
      <c r="C39" s="684">
        <f t="shared" si="8"/>
        <v>-1040.6659999999943</v>
      </c>
      <c r="D39" s="684">
        <f t="shared" si="9"/>
        <v>0</v>
      </c>
      <c r="E39" s="684">
        <f t="shared" si="10"/>
        <v>-1028.6659999999943</v>
      </c>
      <c r="F39" s="684">
        <f t="shared" si="11"/>
        <v>-12</v>
      </c>
      <c r="J39" s="685" t="s">
        <v>731</v>
      </c>
      <c r="K39" s="686">
        <v>-12</v>
      </c>
      <c r="L39" s="684">
        <f t="shared" si="4"/>
        <v>-1040.6659999999943</v>
      </c>
      <c r="M39" s="684">
        <f t="shared" si="5"/>
        <v>0</v>
      </c>
      <c r="N39" s="684">
        <f t="shared" si="6"/>
        <v>-1028.6659999999943</v>
      </c>
      <c r="O39" s="684">
        <f t="shared" si="7"/>
        <v>-12</v>
      </c>
    </row>
    <row r="40" spans="1:15" x14ac:dyDescent="0.25">
      <c r="A40" s="685" t="s">
        <v>854</v>
      </c>
      <c r="B40" s="686">
        <v>-8.1299999999991996</v>
      </c>
      <c r="C40" s="684">
        <f t="shared" si="8"/>
        <v>-1048.7959999999935</v>
      </c>
      <c r="D40" s="684">
        <f t="shared" si="9"/>
        <v>0</v>
      </c>
      <c r="E40" s="684">
        <f t="shared" si="10"/>
        <v>-1040.6659999999943</v>
      </c>
      <c r="F40" s="684">
        <f t="shared" si="11"/>
        <v>-8.1299999999991996</v>
      </c>
      <c r="J40" s="685" t="s">
        <v>859</v>
      </c>
      <c r="K40" s="686">
        <v>-8.1299999999991996</v>
      </c>
      <c r="L40" s="684">
        <f t="shared" si="4"/>
        <v>-1048.7959999999935</v>
      </c>
      <c r="M40" s="684">
        <f t="shared" si="5"/>
        <v>0</v>
      </c>
      <c r="N40" s="684">
        <f t="shared" si="6"/>
        <v>-1040.6659999999943</v>
      </c>
      <c r="O40" s="684">
        <f t="shared" si="7"/>
        <v>-8.1299999999991996</v>
      </c>
    </row>
    <row r="41" spans="1:15" ht="14.25" thickBot="1" x14ac:dyDescent="0.3">
      <c r="A41" s="687" t="s">
        <v>855</v>
      </c>
      <c r="B41" s="688">
        <v>-1048.7959999999948</v>
      </c>
      <c r="C41" s="689"/>
      <c r="D41" s="689"/>
      <c r="E41" s="689"/>
      <c r="F41" s="689">
        <f t="shared" si="11"/>
        <v>-1048.7959999999948</v>
      </c>
      <c r="J41" s="687" t="s">
        <v>858</v>
      </c>
      <c r="K41" s="688">
        <v>-1048.7959999999948</v>
      </c>
      <c r="L41" s="689"/>
      <c r="M41" s="689"/>
      <c r="N41" s="689"/>
      <c r="O41" s="689">
        <f t="shared" si="7"/>
        <v>-1048.7959999999948</v>
      </c>
    </row>
    <row r="42" spans="1:15" x14ac:dyDescent="0.25">
      <c r="A42" s="115"/>
      <c r="B42" s="115"/>
      <c r="C42" s="115"/>
      <c r="D42" s="115"/>
      <c r="E42" s="954" t="s">
        <v>547</v>
      </c>
      <c r="F42" s="954"/>
      <c r="J42" s="115"/>
      <c r="K42" s="115"/>
      <c r="L42" s="115"/>
      <c r="M42" s="115"/>
      <c r="N42" s="954" t="s">
        <v>547</v>
      </c>
      <c r="O42" s="954"/>
    </row>
    <row r="43" spans="1:15" x14ac:dyDescent="0.25">
      <c r="A43" s="115"/>
      <c r="B43" s="115"/>
      <c r="C43" s="115"/>
      <c r="D43" s="115"/>
      <c r="E43" s="115"/>
      <c r="F43" s="115"/>
    </row>
  </sheetData>
  <mergeCells count="4">
    <mergeCell ref="A3:F3"/>
    <mergeCell ref="J3:O3"/>
    <mergeCell ref="E42:F42"/>
    <mergeCell ref="N42:O4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B2:H30"/>
  <sheetViews>
    <sheetView showGridLines="0" zoomScale="85" zoomScaleNormal="85" workbookViewId="0">
      <selection activeCell="F57" sqref="F57"/>
    </sheetView>
  </sheetViews>
  <sheetFormatPr defaultRowHeight="13.5" x14ac:dyDescent="0.25"/>
  <cols>
    <col min="1" max="1" width="11.85546875" style="40" customWidth="1"/>
    <col min="2" max="2" width="27.42578125" style="40" bestFit="1" customWidth="1"/>
    <col min="3" max="8" width="19" style="40" customWidth="1"/>
    <col min="9" max="16384" width="9.140625" style="40"/>
  </cols>
  <sheetData>
    <row r="2" spans="2:8" x14ac:dyDescent="0.25">
      <c r="B2" s="401" t="s">
        <v>1039</v>
      </c>
      <c r="C2" s="390"/>
      <c r="D2" s="390"/>
      <c r="E2" s="390"/>
      <c r="F2" s="390"/>
      <c r="G2" s="390"/>
      <c r="H2" s="390"/>
    </row>
    <row r="3" spans="2:8" ht="27" x14ac:dyDescent="0.25">
      <c r="B3" s="390"/>
      <c r="C3" s="402" t="s">
        <v>998</v>
      </c>
      <c r="D3" s="402" t="s">
        <v>999</v>
      </c>
      <c r="E3" s="402" t="s">
        <v>1000</v>
      </c>
      <c r="F3" s="402" t="s">
        <v>1001</v>
      </c>
      <c r="G3" s="402" t="s">
        <v>1780</v>
      </c>
      <c r="H3" s="402" t="s">
        <v>1002</v>
      </c>
    </row>
    <row r="4" spans="2:8" ht="14.25" thickBot="1" x14ac:dyDescent="0.3">
      <c r="B4" s="403" t="s">
        <v>1003</v>
      </c>
      <c r="C4" s="403"/>
      <c r="D4" s="878">
        <f>D5+D8+D10</f>
        <v>13977.406000000001</v>
      </c>
      <c r="E4" s="878">
        <f>E5+E8+E10</f>
        <v>13977.406000000001</v>
      </c>
      <c r="F4" s="878">
        <f>F5+F8+F10</f>
        <v>14016.656000000001</v>
      </c>
      <c r="G4" s="878">
        <f>G5+G8+G10</f>
        <v>39.250000000000682</v>
      </c>
      <c r="H4" s="878">
        <f>H5+H8+H10</f>
        <v>39.250000000000455</v>
      </c>
    </row>
    <row r="5" spans="2:8" x14ac:dyDescent="0.25">
      <c r="B5" s="120" t="s">
        <v>1004</v>
      </c>
      <c r="C5" s="404" t="s">
        <v>1005</v>
      </c>
      <c r="D5" s="879">
        <v>7342.7070000000003</v>
      </c>
      <c r="E5" s="879">
        <f>D5+D9+D11</f>
        <v>7490.6590000000006</v>
      </c>
      <c r="F5" s="879">
        <v>7502.2170000000006</v>
      </c>
      <c r="G5" s="879">
        <f>F5-D5</f>
        <v>159.51000000000022</v>
      </c>
      <c r="H5" s="879">
        <f>F5-E5</f>
        <v>11.557999999999993</v>
      </c>
    </row>
    <row r="6" spans="2:8" x14ac:dyDescent="0.25">
      <c r="B6" s="40" t="s">
        <v>946</v>
      </c>
      <c r="C6" s="405"/>
      <c r="D6" s="880">
        <v>5336.4309999999996</v>
      </c>
      <c r="E6" s="880">
        <v>5445.8630000000003</v>
      </c>
      <c r="F6" s="880">
        <v>5454.5479999999998</v>
      </c>
      <c r="G6" s="880">
        <f>F6-D6</f>
        <v>118.11700000000019</v>
      </c>
      <c r="H6" s="880">
        <f>F6-E6</f>
        <v>8.6849999999994907</v>
      </c>
    </row>
    <row r="7" spans="2:8" x14ac:dyDescent="0.25">
      <c r="B7" s="40" t="s">
        <v>948</v>
      </c>
      <c r="C7" s="405"/>
      <c r="D7" s="880">
        <v>2006.2760000000007</v>
      </c>
      <c r="E7" s="880">
        <v>2044.7960000000003</v>
      </c>
      <c r="F7" s="880">
        <v>2047.6690000000006</v>
      </c>
      <c r="G7" s="880">
        <f>F7-D7</f>
        <v>41.392999999999802</v>
      </c>
      <c r="H7" s="880">
        <f>F7-E7</f>
        <v>2.8730000000002747</v>
      </c>
    </row>
    <row r="8" spans="2:8" x14ac:dyDescent="0.25">
      <c r="B8" s="120" t="s">
        <v>950</v>
      </c>
      <c r="C8" s="404" t="s">
        <v>126</v>
      </c>
      <c r="D8" s="879">
        <v>4717.0619999999999</v>
      </c>
      <c r="E8" s="879">
        <f>D8-D9</f>
        <v>4667.0619999999999</v>
      </c>
      <c r="F8" s="879">
        <v>4732.5190000000002</v>
      </c>
      <c r="G8" s="879">
        <f>F8-D8</f>
        <v>15.457000000000335</v>
      </c>
      <c r="H8" s="879">
        <f>F8-E8</f>
        <v>65.457000000000335</v>
      </c>
    </row>
    <row r="9" spans="2:8" x14ac:dyDescent="0.25">
      <c r="B9" s="406" t="s">
        <v>1006</v>
      </c>
      <c r="C9" s="407"/>
      <c r="D9" s="881">
        <v>50</v>
      </c>
      <c r="E9" s="881"/>
      <c r="F9" s="881"/>
      <c r="G9" s="879"/>
      <c r="H9" s="879"/>
    </row>
    <row r="10" spans="2:8" x14ac:dyDescent="0.25">
      <c r="B10" s="120" t="s">
        <v>939</v>
      </c>
      <c r="C10" s="404" t="s">
        <v>1007</v>
      </c>
      <c r="D10" s="879">
        <v>1917.6369999999999</v>
      </c>
      <c r="E10" s="879">
        <f>D10-D11</f>
        <v>1819.6849999999999</v>
      </c>
      <c r="F10" s="879">
        <v>1781.92</v>
      </c>
      <c r="G10" s="879">
        <f>F10-D10</f>
        <v>-135.71699999999987</v>
      </c>
      <c r="H10" s="879">
        <f>F10-E10</f>
        <v>-37.764999999999873</v>
      </c>
    </row>
    <row r="11" spans="2:8" x14ac:dyDescent="0.25">
      <c r="B11" s="408" t="s">
        <v>1006</v>
      </c>
      <c r="C11" s="409"/>
      <c r="D11" s="882">
        <v>97.951999999999998</v>
      </c>
      <c r="E11" s="882"/>
      <c r="F11" s="882"/>
      <c r="G11" s="883"/>
      <c r="H11" s="883"/>
    </row>
    <row r="12" spans="2:8" x14ac:dyDescent="0.25">
      <c r="B12" s="120" t="s">
        <v>1008</v>
      </c>
      <c r="C12" s="120"/>
      <c r="D12" s="879">
        <f>D9+D11</f>
        <v>147.952</v>
      </c>
      <c r="E12" s="880"/>
      <c r="F12" s="880"/>
      <c r="G12" s="880"/>
      <c r="H12" s="880" t="s">
        <v>21</v>
      </c>
    </row>
    <row r="13" spans="2:8" x14ac:dyDescent="0.25">
      <c r="B13" s="40" t="s">
        <v>1009</v>
      </c>
      <c r="D13" s="569"/>
      <c r="E13" s="569"/>
      <c r="F13" s="569"/>
      <c r="G13" s="569"/>
      <c r="H13" s="569"/>
    </row>
    <row r="15" spans="2:8" x14ac:dyDescent="0.25">
      <c r="C15" s="677"/>
    </row>
    <row r="16" spans="2:8" x14ac:dyDescent="0.25">
      <c r="C16" s="677"/>
    </row>
    <row r="19" spans="2:8" x14ac:dyDescent="0.25">
      <c r="B19" s="401" t="s">
        <v>1790</v>
      </c>
      <c r="C19" s="390"/>
      <c r="D19" s="390"/>
      <c r="E19" s="390"/>
      <c r="F19" s="390"/>
      <c r="G19" s="390"/>
      <c r="H19" s="390"/>
    </row>
    <row r="20" spans="2:8" x14ac:dyDescent="0.25">
      <c r="B20" s="390"/>
      <c r="C20" s="402" t="s">
        <v>1776</v>
      </c>
      <c r="D20" s="402" t="s">
        <v>1777</v>
      </c>
      <c r="E20" s="402" t="s">
        <v>1778</v>
      </c>
      <c r="F20" s="402" t="s">
        <v>1779</v>
      </c>
      <c r="G20" s="402" t="s">
        <v>1780</v>
      </c>
      <c r="H20" s="402" t="s">
        <v>1781</v>
      </c>
    </row>
    <row r="21" spans="2:8" ht="14.25" thickBot="1" x14ac:dyDescent="0.3">
      <c r="B21" s="403" t="s">
        <v>1003</v>
      </c>
      <c r="C21" s="403"/>
      <c r="D21" s="878">
        <f>D22+D25+D27</f>
        <v>13977.406000000001</v>
      </c>
      <c r="E21" s="878">
        <f>E22+E25+E27</f>
        <v>13977.406000000001</v>
      </c>
      <c r="F21" s="878">
        <f>F22+F25+F27</f>
        <v>14016.656000000001</v>
      </c>
      <c r="G21" s="878">
        <f>G22+G25+G27</f>
        <v>39.250000000000682</v>
      </c>
      <c r="H21" s="878">
        <f>H22+H25+H27</f>
        <v>39.250000000000455</v>
      </c>
    </row>
    <row r="22" spans="2:8" x14ac:dyDescent="0.25">
      <c r="B22" s="120" t="s">
        <v>1782</v>
      </c>
      <c r="C22" s="404" t="s">
        <v>1005</v>
      </c>
      <c r="D22" s="879">
        <v>7342.7070000000003</v>
      </c>
      <c r="E22" s="879">
        <f>D22+D26+D28</f>
        <v>7490.6590000000006</v>
      </c>
      <c r="F22" s="879">
        <v>7502.2170000000006</v>
      </c>
      <c r="G22" s="879">
        <f>F22-D22</f>
        <v>159.51000000000022</v>
      </c>
      <c r="H22" s="879">
        <f>F22-E22</f>
        <v>11.557999999999993</v>
      </c>
    </row>
    <row r="23" spans="2:8" x14ac:dyDescent="0.25">
      <c r="B23" s="47" t="s">
        <v>1783</v>
      </c>
      <c r="C23" s="405"/>
      <c r="D23" s="880">
        <v>5336.4309999999996</v>
      </c>
      <c r="E23" s="880">
        <v>5445.8630000000003</v>
      </c>
      <c r="F23" s="880">
        <v>5454.5479999999998</v>
      </c>
      <c r="G23" s="880">
        <f>F23-D23</f>
        <v>118.11700000000019</v>
      </c>
      <c r="H23" s="880">
        <f>F23-E23</f>
        <v>8.6849999999994907</v>
      </c>
    </row>
    <row r="24" spans="2:8" x14ac:dyDescent="0.25">
      <c r="B24" s="47" t="s">
        <v>1784</v>
      </c>
      <c r="C24" s="405"/>
      <c r="D24" s="880">
        <v>2006.2760000000007</v>
      </c>
      <c r="E24" s="880">
        <v>2044.7960000000003</v>
      </c>
      <c r="F24" s="880">
        <v>2047.6690000000006</v>
      </c>
      <c r="G24" s="880">
        <f>F24-D24</f>
        <v>41.392999999999802</v>
      </c>
      <c r="H24" s="880">
        <f>F24-E24</f>
        <v>2.8730000000002747</v>
      </c>
    </row>
    <row r="25" spans="2:8" x14ac:dyDescent="0.25">
      <c r="B25" s="120" t="s">
        <v>1785</v>
      </c>
      <c r="C25" s="404" t="s">
        <v>126</v>
      </c>
      <c r="D25" s="879">
        <v>4717.0619999999999</v>
      </c>
      <c r="E25" s="879">
        <f>D25-D26</f>
        <v>4667.0619999999999</v>
      </c>
      <c r="F25" s="879">
        <v>4732.5190000000002</v>
      </c>
      <c r="G25" s="879">
        <f>F25-D25</f>
        <v>15.457000000000335</v>
      </c>
      <c r="H25" s="879">
        <f>F25-E25</f>
        <v>65.457000000000335</v>
      </c>
    </row>
    <row r="26" spans="2:8" x14ac:dyDescent="0.25">
      <c r="B26" s="406" t="s">
        <v>1786</v>
      </c>
      <c r="C26" s="407"/>
      <c r="D26" s="881">
        <v>50</v>
      </c>
      <c r="E26" s="881"/>
      <c r="F26" s="881"/>
      <c r="G26" s="879"/>
      <c r="H26" s="879"/>
    </row>
    <row r="27" spans="2:8" x14ac:dyDescent="0.25">
      <c r="B27" s="120" t="s">
        <v>1675</v>
      </c>
      <c r="C27" s="404" t="s">
        <v>1007</v>
      </c>
      <c r="D27" s="879">
        <v>1917.6369999999999</v>
      </c>
      <c r="E27" s="879">
        <f>D27-D28</f>
        <v>1819.6849999999999</v>
      </c>
      <c r="F27" s="879">
        <v>1781.92</v>
      </c>
      <c r="G27" s="879">
        <f>F27-D27</f>
        <v>-135.71699999999987</v>
      </c>
      <c r="H27" s="879">
        <f>F27-E27</f>
        <v>-37.764999999999873</v>
      </c>
    </row>
    <row r="28" spans="2:8" x14ac:dyDescent="0.25">
      <c r="B28" s="408" t="s">
        <v>1787</v>
      </c>
      <c r="C28" s="409"/>
      <c r="D28" s="882">
        <v>97.951999999999998</v>
      </c>
      <c r="E28" s="882"/>
      <c r="F28" s="882"/>
      <c r="G28" s="883"/>
      <c r="H28" s="883"/>
    </row>
    <row r="29" spans="2:8" x14ac:dyDescent="0.25">
      <c r="B29" s="120" t="s">
        <v>1788</v>
      </c>
      <c r="C29" s="120"/>
      <c r="D29" s="879">
        <f>D26+D28</f>
        <v>147.952</v>
      </c>
      <c r="E29" s="880"/>
      <c r="F29" s="880"/>
      <c r="G29" s="880"/>
      <c r="H29" s="880" t="s">
        <v>345</v>
      </c>
    </row>
    <row r="30" spans="2:8" x14ac:dyDescent="0.25">
      <c r="B30" s="40" t="s">
        <v>1789</v>
      </c>
      <c r="D30" s="569"/>
      <c r="E30" s="569"/>
      <c r="F30" s="569"/>
      <c r="G30" s="569"/>
      <c r="H30" s="569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4:G25"/>
  <sheetViews>
    <sheetView showGridLines="0" zoomScale="85" zoomScaleNormal="85" workbookViewId="0">
      <selection activeCell="H9" sqref="H9"/>
    </sheetView>
  </sheetViews>
  <sheetFormatPr defaultRowHeight="13.5" x14ac:dyDescent="0.25"/>
  <cols>
    <col min="1" max="1" width="48.140625" style="40" bestFit="1" customWidth="1"/>
    <col min="2" max="16384" width="9.140625" style="40"/>
  </cols>
  <sheetData>
    <row r="4" spans="1:7" ht="14.25" thickBot="1" x14ac:dyDescent="0.3">
      <c r="A4" s="896" t="s">
        <v>1040</v>
      </c>
      <c r="B4" s="896"/>
      <c r="C4" s="896"/>
      <c r="D4" s="896"/>
      <c r="E4" s="896"/>
      <c r="F4" s="896"/>
      <c r="G4" s="896"/>
    </row>
    <row r="5" spans="1:7" ht="14.25" thickBot="1" x14ac:dyDescent="0.3">
      <c r="A5" s="180"/>
      <c r="B5" s="180">
        <v>2015</v>
      </c>
      <c r="C5" s="180">
        <v>2016</v>
      </c>
      <c r="D5" s="180">
        <v>2017</v>
      </c>
      <c r="E5" s="180">
        <v>2018</v>
      </c>
      <c r="F5" s="180">
        <v>2019</v>
      </c>
      <c r="G5" s="180">
        <v>2020</v>
      </c>
    </row>
    <row r="6" spans="1:7" x14ac:dyDescent="0.25">
      <c r="A6" s="6" t="s">
        <v>671</v>
      </c>
      <c r="B6" s="110">
        <v>-2.4900000000000002</v>
      </c>
      <c r="C6" s="110">
        <v>-1.43</v>
      </c>
      <c r="D6" s="110">
        <v>-0.39</v>
      </c>
      <c r="E6" s="110" t="s">
        <v>16</v>
      </c>
      <c r="F6" s="181" t="s">
        <v>16</v>
      </c>
      <c r="G6" s="181" t="s">
        <v>16</v>
      </c>
    </row>
    <row r="7" spans="1:7" x14ac:dyDescent="0.25">
      <c r="A7" s="6" t="s">
        <v>672</v>
      </c>
      <c r="B7" s="110">
        <v>-2.4900000000000002</v>
      </c>
      <c r="C7" s="110">
        <v>-1.93</v>
      </c>
      <c r="D7" s="110">
        <v>-0.42</v>
      </c>
      <c r="E7" s="110">
        <v>0</v>
      </c>
      <c r="F7" s="181" t="s">
        <v>16</v>
      </c>
      <c r="G7" s="181" t="s">
        <v>16</v>
      </c>
    </row>
    <row r="8" spans="1:7" x14ac:dyDescent="0.25">
      <c r="A8" s="6" t="s">
        <v>670</v>
      </c>
      <c r="B8" s="110">
        <v>-2.97</v>
      </c>
      <c r="C8" s="110">
        <v>-1.93</v>
      </c>
      <c r="D8" s="110">
        <v>-1.29</v>
      </c>
      <c r="E8" s="110">
        <v>-0.44</v>
      </c>
      <c r="F8" s="110">
        <v>0.16</v>
      </c>
      <c r="G8" s="181" t="s">
        <v>16</v>
      </c>
    </row>
    <row r="9" spans="1:7" ht="14.25" thickBot="1" x14ac:dyDescent="0.3">
      <c r="A9" s="7" t="s">
        <v>673</v>
      </c>
      <c r="B9" s="68">
        <f>ESA2010_source!K89*100</f>
        <v>-2.7445806862164637</v>
      </c>
      <c r="C9" s="68">
        <f>ESA2010_source!L89*100</f>
        <v>-1.6817818285144437</v>
      </c>
      <c r="D9" s="68">
        <v>-1.29</v>
      </c>
      <c r="E9" s="68">
        <f>ESA2010_source!N89*100</f>
        <v>-0.50000000000000522</v>
      </c>
      <c r="F9" s="68">
        <f>ESA2010_source!O89*100</f>
        <v>0</v>
      </c>
      <c r="G9" s="68">
        <f>ESA2010_source!P89*100</f>
        <v>0</v>
      </c>
    </row>
    <row r="10" spans="1:7" x14ac:dyDescent="0.25">
      <c r="A10" s="6" t="s">
        <v>674</v>
      </c>
      <c r="B10" s="161">
        <f>B9-B6</f>
        <v>-0.25458068621646346</v>
      </c>
      <c r="C10" s="161">
        <f t="shared" ref="C10:D10" si="0">C9-C6</f>
        <v>-0.25178182851444375</v>
      </c>
      <c r="D10" s="161">
        <f t="shared" si="0"/>
        <v>-0.9</v>
      </c>
      <c r="E10" s="110" t="s">
        <v>16</v>
      </c>
      <c r="F10" s="110" t="s">
        <v>16</v>
      </c>
      <c r="G10" s="110" t="s">
        <v>16</v>
      </c>
    </row>
    <row r="11" spans="1:7" x14ac:dyDescent="0.25">
      <c r="A11" s="6" t="s">
        <v>675</v>
      </c>
      <c r="B11" s="161">
        <f>B9-B7</f>
        <v>-0.25458068621646346</v>
      </c>
      <c r="C11" s="161">
        <f t="shared" ref="C11:E11" si="1">C9-C7</f>
        <v>0.24821817148555625</v>
      </c>
      <c r="D11" s="161">
        <f t="shared" si="1"/>
        <v>-0.87000000000000011</v>
      </c>
      <c r="E11" s="161">
        <f t="shared" si="1"/>
        <v>-0.50000000000000522</v>
      </c>
      <c r="F11" s="181" t="s">
        <v>16</v>
      </c>
      <c r="G11" s="181" t="s">
        <v>16</v>
      </c>
    </row>
    <row r="12" spans="1:7" ht="14.25" thickBot="1" x14ac:dyDescent="0.3">
      <c r="A12" s="6" t="s">
        <v>676</v>
      </c>
      <c r="B12" s="68">
        <f>B9-B8</f>
        <v>0.22541931378353652</v>
      </c>
      <c r="C12" s="68">
        <f t="shared" ref="C12:F12" si="2">C9-C8</f>
        <v>0.24821817148555625</v>
      </c>
      <c r="D12" s="68">
        <f t="shared" si="2"/>
        <v>0</v>
      </c>
      <c r="E12" s="68">
        <f t="shared" si="2"/>
        <v>-6.0000000000005216E-2</v>
      </c>
      <c r="F12" s="68">
        <f t="shared" si="2"/>
        <v>-0.16</v>
      </c>
      <c r="G12" s="68" t="s">
        <v>16</v>
      </c>
    </row>
    <row r="13" spans="1:7" x14ac:dyDescent="0.25">
      <c r="A13" s="955" t="s">
        <v>21</v>
      </c>
      <c r="B13" s="955"/>
      <c r="C13" s="955"/>
      <c r="D13" s="955"/>
      <c r="E13" s="955"/>
      <c r="F13" s="955"/>
      <c r="G13" s="955"/>
    </row>
    <row r="16" spans="1:7" ht="14.25" thickBot="1" x14ac:dyDescent="0.3">
      <c r="A16" s="896" t="s">
        <v>1041</v>
      </c>
      <c r="B16" s="896"/>
      <c r="C16" s="896"/>
      <c r="D16" s="896"/>
      <c r="E16" s="896"/>
      <c r="F16" s="896"/>
      <c r="G16" s="896"/>
    </row>
    <row r="17" spans="1:7" ht="14.25" thickBot="1" x14ac:dyDescent="0.3">
      <c r="A17" s="180"/>
      <c r="B17" s="180">
        <v>2015</v>
      </c>
      <c r="C17" s="180">
        <v>2016</v>
      </c>
      <c r="D17" s="180">
        <v>2017</v>
      </c>
      <c r="E17" s="180">
        <v>2018</v>
      </c>
      <c r="F17" s="180">
        <v>2019</v>
      </c>
      <c r="G17" s="180">
        <v>2020</v>
      </c>
    </row>
    <row r="18" spans="1:7" x14ac:dyDescent="0.25">
      <c r="A18" s="6" t="s">
        <v>677</v>
      </c>
      <c r="B18" s="110">
        <v>-2.4900000000000002</v>
      </c>
      <c r="C18" s="110">
        <v>-1.43</v>
      </c>
      <c r="D18" s="110">
        <v>-0.39</v>
      </c>
      <c r="E18" s="110" t="s">
        <v>16</v>
      </c>
      <c r="F18" s="181" t="s">
        <v>16</v>
      </c>
      <c r="G18" s="181" t="s">
        <v>16</v>
      </c>
    </row>
    <row r="19" spans="1:7" x14ac:dyDescent="0.25">
      <c r="A19" s="6" t="s">
        <v>678</v>
      </c>
      <c r="B19" s="110">
        <v>-2.4900000000000002</v>
      </c>
      <c r="C19" s="110">
        <v>-1.93</v>
      </c>
      <c r="D19" s="110">
        <v>-0.42</v>
      </c>
      <c r="E19" s="110">
        <v>0</v>
      </c>
      <c r="F19" s="181" t="s">
        <v>16</v>
      </c>
      <c r="G19" s="181" t="s">
        <v>16</v>
      </c>
    </row>
    <row r="20" spans="1:7" x14ac:dyDescent="0.25">
      <c r="A20" s="6" t="s">
        <v>679</v>
      </c>
      <c r="B20" s="110">
        <v>-2.97</v>
      </c>
      <c r="C20" s="110">
        <v>-1.93</v>
      </c>
      <c r="D20" s="110">
        <v>-1.29</v>
      </c>
      <c r="E20" s="110">
        <v>-0.44</v>
      </c>
      <c r="F20" s="110">
        <v>0.16</v>
      </c>
      <c r="G20" s="181" t="s">
        <v>16</v>
      </c>
    </row>
    <row r="21" spans="1:7" ht="14.25" thickBot="1" x14ac:dyDescent="0.3">
      <c r="A21" s="6" t="s">
        <v>680</v>
      </c>
      <c r="B21" s="68">
        <f t="shared" ref="B21:G21" si="3">B9</f>
        <v>-2.7445806862164637</v>
      </c>
      <c r="C21" s="68">
        <f t="shared" si="3"/>
        <v>-1.6817818285144437</v>
      </c>
      <c r="D21" s="68">
        <f t="shared" si="3"/>
        <v>-1.29</v>
      </c>
      <c r="E21" s="68">
        <f t="shared" si="3"/>
        <v>-0.50000000000000522</v>
      </c>
      <c r="F21" s="68">
        <f t="shared" si="3"/>
        <v>0</v>
      </c>
      <c r="G21" s="68">
        <f t="shared" si="3"/>
        <v>0</v>
      </c>
    </row>
    <row r="22" spans="1:7" x14ac:dyDescent="0.25">
      <c r="A22" s="13" t="s">
        <v>681</v>
      </c>
      <c r="B22" s="161">
        <f>B21-B18</f>
        <v>-0.25458068621646346</v>
      </c>
      <c r="C22" s="161">
        <f t="shared" ref="C22" si="4">C21-C18</f>
        <v>-0.25178182851444375</v>
      </c>
      <c r="D22" s="161">
        <f t="shared" ref="D22" si="5">D21-D18</f>
        <v>-0.9</v>
      </c>
      <c r="E22" s="110" t="s">
        <v>16</v>
      </c>
      <c r="F22" s="110" t="s">
        <v>16</v>
      </c>
      <c r="G22" s="110" t="s">
        <v>16</v>
      </c>
    </row>
    <row r="23" spans="1:7" x14ac:dyDescent="0.25">
      <c r="A23" s="6" t="s">
        <v>682</v>
      </c>
      <c r="B23" s="161">
        <f>B21-B19</f>
        <v>-0.25458068621646346</v>
      </c>
      <c r="C23" s="161">
        <f t="shared" ref="C23:E23" si="6">C21-C19</f>
        <v>0.24821817148555625</v>
      </c>
      <c r="D23" s="161">
        <f t="shared" si="6"/>
        <v>-0.87000000000000011</v>
      </c>
      <c r="E23" s="161">
        <f t="shared" si="6"/>
        <v>-0.50000000000000522</v>
      </c>
      <c r="F23" s="181" t="s">
        <v>16</v>
      </c>
      <c r="G23" s="181" t="s">
        <v>16</v>
      </c>
    </row>
    <row r="24" spans="1:7" ht="14.25" thickBot="1" x14ac:dyDescent="0.3">
      <c r="A24" s="5" t="s">
        <v>683</v>
      </c>
      <c r="B24" s="68">
        <f>B21-B20</f>
        <v>0.22541931378353652</v>
      </c>
      <c r="C24" s="68">
        <f t="shared" ref="C24:F24" si="7">C21-C20</f>
        <v>0.24821817148555625</v>
      </c>
      <c r="D24" s="68">
        <f t="shared" si="7"/>
        <v>0</v>
      </c>
      <c r="E24" s="68">
        <f t="shared" si="7"/>
        <v>-6.0000000000005216E-2</v>
      </c>
      <c r="F24" s="68">
        <f t="shared" si="7"/>
        <v>-0.16</v>
      </c>
      <c r="G24" s="68" t="s">
        <v>16</v>
      </c>
    </row>
    <row r="25" spans="1:7" x14ac:dyDescent="0.25">
      <c r="A25" s="955" t="s">
        <v>345</v>
      </c>
      <c r="B25" s="955"/>
      <c r="C25" s="955"/>
      <c r="D25" s="955"/>
      <c r="E25" s="955"/>
      <c r="F25" s="955"/>
      <c r="G25" s="955"/>
    </row>
  </sheetData>
  <mergeCells count="4">
    <mergeCell ref="A4:G4"/>
    <mergeCell ref="A13:G13"/>
    <mergeCell ref="A16:G16"/>
    <mergeCell ref="A25:G2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7"/>
  <dimension ref="A4:D18"/>
  <sheetViews>
    <sheetView showGridLines="0" zoomScale="85" zoomScaleNormal="85" workbookViewId="0">
      <selection activeCell="C6" sqref="C6"/>
    </sheetView>
  </sheetViews>
  <sheetFormatPr defaultRowHeight="13.5" x14ac:dyDescent="0.25"/>
  <cols>
    <col min="1" max="1" width="30.85546875" style="40" bestFit="1" customWidth="1"/>
    <col min="2" max="2" width="19.42578125" style="40" customWidth="1"/>
    <col min="3" max="3" width="16.85546875" style="40" customWidth="1"/>
    <col min="4" max="4" width="23.140625" style="40" customWidth="1"/>
    <col min="5" max="16384" width="9.140625" style="40"/>
  </cols>
  <sheetData>
    <row r="4" spans="1:4" ht="14.25" thickBot="1" x14ac:dyDescent="0.3">
      <c r="A4" s="956" t="s">
        <v>1042</v>
      </c>
      <c r="B4" s="956"/>
      <c r="C4" s="956"/>
      <c r="D4" s="956"/>
    </row>
    <row r="5" spans="1:4" ht="14.25" thickBot="1" x14ac:dyDescent="0.3">
      <c r="A5" s="96"/>
      <c r="B5" s="32">
        <v>2018</v>
      </c>
      <c r="C5" s="32">
        <v>2019</v>
      </c>
      <c r="D5" s="32">
        <v>2020</v>
      </c>
    </row>
    <row r="6" spans="1:4" x14ac:dyDescent="0.25">
      <c r="A6" s="4" t="s">
        <v>295</v>
      </c>
      <c r="B6" s="231">
        <f>ESA2010_source!N89*100</f>
        <v>-0.50000000000000522</v>
      </c>
      <c r="C6" s="231">
        <f>ESA2010_source!O89*100</f>
        <v>0</v>
      </c>
      <c r="D6" s="231">
        <f>ESA2010_source!P89*100</f>
        <v>0</v>
      </c>
    </row>
    <row r="7" spans="1:4" ht="14.25" thickBot="1" x14ac:dyDescent="0.3">
      <c r="A7" s="96" t="s">
        <v>837</v>
      </c>
      <c r="B7" s="232">
        <f>'Tab 17 '!C26</f>
        <v>4.7888663812756249E-4</v>
      </c>
      <c r="C7" s="232">
        <f>'Tab 17 '!D26</f>
        <v>0.13489391496975145</v>
      </c>
      <c r="D7" s="232">
        <f>'Tab 17 '!E26</f>
        <v>0.62938762701320883</v>
      </c>
    </row>
    <row r="8" spans="1:4" x14ac:dyDescent="0.25">
      <c r="A8" s="4" t="s">
        <v>840</v>
      </c>
      <c r="B8" s="231">
        <f>B6-B7</f>
        <v>-0.50047888663813278</v>
      </c>
      <c r="C8" s="231">
        <f t="shared" ref="C8:D8" si="0">C6-C7</f>
        <v>-0.13489391496975145</v>
      </c>
      <c r="D8" s="231">
        <f t="shared" si="0"/>
        <v>-0.62938762701320883</v>
      </c>
    </row>
    <row r="9" spans="1:4" ht="14.25" thickBot="1" x14ac:dyDescent="0.3">
      <c r="A9" s="3" t="s">
        <v>71</v>
      </c>
      <c r="B9" s="59">
        <v>-0.5</v>
      </c>
      <c r="C9" s="59">
        <v>0.3</v>
      </c>
      <c r="D9" s="2">
        <v>-0.45</v>
      </c>
    </row>
    <row r="10" spans="1:4" x14ac:dyDescent="0.25">
      <c r="A10" s="957" t="s">
        <v>21</v>
      </c>
      <c r="B10" s="957"/>
      <c r="C10" s="957"/>
      <c r="D10" s="957"/>
    </row>
    <row r="12" spans="1:4" ht="14.25" thickBot="1" x14ac:dyDescent="0.3">
      <c r="A12" s="956" t="s">
        <v>1043</v>
      </c>
      <c r="B12" s="956"/>
      <c r="C12" s="956"/>
      <c r="D12" s="956"/>
    </row>
    <row r="13" spans="1:4" ht="14.25" thickBot="1" x14ac:dyDescent="0.3">
      <c r="A13" s="96"/>
      <c r="B13" s="32">
        <f t="shared" ref="B13:D13" si="1">B5</f>
        <v>2018</v>
      </c>
      <c r="C13" s="32">
        <f t="shared" si="1"/>
        <v>2019</v>
      </c>
      <c r="D13" s="32">
        <f t="shared" si="1"/>
        <v>2020</v>
      </c>
    </row>
    <row r="14" spans="1:4" x14ac:dyDescent="0.25">
      <c r="A14" s="4" t="s">
        <v>574</v>
      </c>
      <c r="B14" s="231">
        <f t="shared" ref="B14:D16" si="2">B6</f>
        <v>-0.50000000000000522</v>
      </c>
      <c r="C14" s="231">
        <f t="shared" si="2"/>
        <v>0</v>
      </c>
      <c r="D14" s="231">
        <f t="shared" si="2"/>
        <v>0</v>
      </c>
    </row>
    <row r="15" spans="1:4" ht="14.25" thickBot="1" x14ac:dyDescent="0.3">
      <c r="A15" s="96" t="s">
        <v>838</v>
      </c>
      <c r="B15" s="232">
        <f t="shared" si="2"/>
        <v>4.7888663812756249E-4</v>
      </c>
      <c r="C15" s="232">
        <f t="shared" si="2"/>
        <v>0.13489391496975145</v>
      </c>
      <c r="D15" s="232">
        <f t="shared" si="2"/>
        <v>0.62938762701320883</v>
      </c>
    </row>
    <row r="16" spans="1:4" x14ac:dyDescent="0.25">
      <c r="A16" s="4" t="s">
        <v>839</v>
      </c>
      <c r="B16" s="231">
        <f t="shared" si="2"/>
        <v>-0.50047888663813278</v>
      </c>
      <c r="C16" s="231">
        <f t="shared" si="2"/>
        <v>-0.13489391496975145</v>
      </c>
      <c r="D16" s="231">
        <f t="shared" si="2"/>
        <v>-0.62938762701320883</v>
      </c>
    </row>
    <row r="17" spans="1:4" ht="14.25" thickBot="1" x14ac:dyDescent="0.3">
      <c r="A17" s="3" t="s">
        <v>473</v>
      </c>
      <c r="B17" s="59">
        <f t="shared" ref="B17:D17" si="3">B9</f>
        <v>-0.5</v>
      </c>
      <c r="C17" s="59">
        <f t="shared" si="3"/>
        <v>0.3</v>
      </c>
      <c r="D17" s="59">
        <f t="shared" si="3"/>
        <v>-0.45</v>
      </c>
    </row>
    <row r="18" spans="1:4" x14ac:dyDescent="0.25">
      <c r="A18" s="957" t="s">
        <v>345</v>
      </c>
      <c r="B18" s="957"/>
      <c r="C18" s="957"/>
      <c r="D18" s="957"/>
    </row>
  </sheetData>
  <mergeCells count="4">
    <mergeCell ref="A4:D4"/>
    <mergeCell ref="A10:D10"/>
    <mergeCell ref="A12:D12"/>
    <mergeCell ref="A18:D18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4:I51"/>
  <sheetViews>
    <sheetView showGridLines="0" zoomScale="85" zoomScaleNormal="85" workbookViewId="0"/>
  </sheetViews>
  <sheetFormatPr defaultRowHeight="13.5" x14ac:dyDescent="0.25"/>
  <cols>
    <col min="1" max="1" width="54" style="40" bestFit="1" customWidth="1"/>
    <col min="2" max="3" width="11" style="40" customWidth="1"/>
    <col min="4" max="5" width="9.140625" style="40"/>
    <col min="6" max="6" width="11.85546875" style="40" bestFit="1" customWidth="1"/>
    <col min="7" max="7" width="12.42578125" style="40" bestFit="1" customWidth="1"/>
    <col min="8" max="8" width="10.85546875" style="40" bestFit="1" customWidth="1"/>
    <col min="9" max="9" width="9.85546875" style="40" bestFit="1" customWidth="1"/>
    <col min="10" max="10" width="37.7109375" style="40" bestFit="1" customWidth="1"/>
    <col min="11" max="16384" width="9.140625" style="40"/>
  </cols>
  <sheetData>
    <row r="4" spans="1:9" ht="14.25" thickBot="1" x14ac:dyDescent="0.3">
      <c r="A4" s="896" t="s">
        <v>814</v>
      </c>
      <c r="B4" s="896"/>
      <c r="C4" s="896"/>
      <c r="D4" s="896"/>
      <c r="E4" s="896"/>
      <c r="F4" s="896"/>
      <c r="G4" s="896"/>
      <c r="H4" s="896"/>
      <c r="I4" s="896"/>
    </row>
    <row r="5" spans="1:9" x14ac:dyDescent="0.25">
      <c r="A5" s="19"/>
      <c r="B5" s="19"/>
      <c r="C5" s="19"/>
      <c r="D5" s="959">
        <v>2018</v>
      </c>
      <c r="E5" s="959"/>
      <c r="F5" s="959">
        <v>2019</v>
      </c>
      <c r="G5" s="959"/>
      <c r="H5" s="959">
        <v>2020</v>
      </c>
      <c r="I5" s="959"/>
    </row>
    <row r="6" spans="1:9" ht="14.25" thickBot="1" x14ac:dyDescent="0.3">
      <c r="A6" s="5" t="s">
        <v>122</v>
      </c>
      <c r="B6" s="5" t="s">
        <v>797</v>
      </c>
      <c r="C6" s="5" t="s">
        <v>796</v>
      </c>
      <c r="D6" s="182" t="s">
        <v>124</v>
      </c>
      <c r="E6" s="182" t="s">
        <v>125</v>
      </c>
      <c r="F6" s="182" t="s">
        <v>124</v>
      </c>
      <c r="G6" s="182" t="s">
        <v>125</v>
      </c>
      <c r="H6" s="182" t="s">
        <v>124</v>
      </c>
      <c r="I6" s="182" t="s">
        <v>125</v>
      </c>
    </row>
    <row r="7" spans="1:9" x14ac:dyDescent="0.25">
      <c r="A7" s="224" t="s">
        <v>292</v>
      </c>
      <c r="B7" s="669"/>
      <c r="C7" s="197"/>
      <c r="D7" s="198">
        <v>-23.527234999998939</v>
      </c>
      <c r="E7" s="197">
        <v>-2.6331249790152254E-2</v>
      </c>
      <c r="F7" s="198">
        <v>-36.105876331000822</v>
      </c>
      <c r="G7" s="197">
        <v>-3.7976975720643687E-2</v>
      </c>
      <c r="H7" s="198">
        <v>-138.05276184171467</v>
      </c>
      <c r="I7" s="197">
        <v>-0.13705250197289079</v>
      </c>
    </row>
    <row r="8" spans="1:9" x14ac:dyDescent="0.25">
      <c r="A8" s="190" t="s">
        <v>798</v>
      </c>
      <c r="B8" s="199" t="s">
        <v>1720</v>
      </c>
      <c r="C8" s="200"/>
      <c r="D8" s="201">
        <v>32.058</v>
      </c>
      <c r="E8" s="200">
        <v>3.5878725475931995E-2</v>
      </c>
      <c r="F8" s="201">
        <v>37.710999999999999</v>
      </c>
      <c r="G8" s="200">
        <v>3.9665281027164483E-2</v>
      </c>
      <c r="H8" s="201">
        <v>37.710999999999999</v>
      </c>
      <c r="I8" s="200">
        <v>3.7437765336600315E-2</v>
      </c>
    </row>
    <row r="9" spans="1:9" x14ac:dyDescent="0.25">
      <c r="A9" s="190" t="s">
        <v>799</v>
      </c>
      <c r="B9" s="199" t="s">
        <v>1720</v>
      </c>
      <c r="C9" s="200"/>
      <c r="D9" s="202">
        <v>-72.335999999999999</v>
      </c>
      <c r="E9" s="203">
        <v>-8.0957124150820917E-2</v>
      </c>
      <c r="F9" s="202">
        <v>-123.374</v>
      </c>
      <c r="G9" s="203">
        <v>-0.12976755804527568</v>
      </c>
      <c r="H9" s="202">
        <v>-184.471</v>
      </c>
      <c r="I9" s="203">
        <v>-0.18313441726307966</v>
      </c>
    </row>
    <row r="10" spans="1:9" ht="14.25" thickBot="1" x14ac:dyDescent="0.3">
      <c r="A10" s="191" t="s">
        <v>800</v>
      </c>
      <c r="B10" s="204" t="s">
        <v>1720</v>
      </c>
      <c r="C10" s="205"/>
      <c r="D10" s="206">
        <v>16.75076500000106</v>
      </c>
      <c r="E10" s="205">
        <v>1.8747148884736668E-2</v>
      </c>
      <c r="F10" s="206">
        <v>49.557123668999175</v>
      </c>
      <c r="G10" s="205">
        <v>5.2125301297467501E-2</v>
      </c>
      <c r="H10" s="206">
        <v>8.7072381582853264</v>
      </c>
      <c r="I10" s="205">
        <v>8.6441499535885539E-3</v>
      </c>
    </row>
    <row r="11" spans="1:9" x14ac:dyDescent="0.25">
      <c r="A11" s="192" t="s">
        <v>831</v>
      </c>
      <c r="B11" s="670"/>
      <c r="C11" s="207"/>
      <c r="D11" s="208">
        <f>D12+D13+D17+D18+D20+D21</f>
        <v>-426</v>
      </c>
      <c r="E11" s="209">
        <f t="shared" ref="E11:I11" si="0">E12+E13+E17+E18+E20+E21</f>
        <v>-0.47677138476346098</v>
      </c>
      <c r="F11" s="210">
        <f t="shared" si="0"/>
        <v>-128</v>
      </c>
      <c r="G11" s="209">
        <f t="shared" si="0"/>
        <v>-0.13481798608815129</v>
      </c>
      <c r="H11" s="210">
        <f t="shared" si="0"/>
        <v>-481</v>
      </c>
      <c r="I11" s="209">
        <f t="shared" si="0"/>
        <v>-0.47724617098857391</v>
      </c>
    </row>
    <row r="12" spans="1:9" x14ac:dyDescent="0.25">
      <c r="A12" s="190" t="s">
        <v>801</v>
      </c>
      <c r="B12" s="211" t="s">
        <v>1721</v>
      </c>
      <c r="C12" s="212" t="s">
        <v>776</v>
      </c>
      <c r="D12" s="212">
        <v>-101</v>
      </c>
      <c r="E12" s="200">
        <v>-0.11303734709180648</v>
      </c>
      <c r="F12" s="201">
        <v>-141</v>
      </c>
      <c r="G12" s="200">
        <v>-0.14826412091525182</v>
      </c>
      <c r="H12" s="201">
        <v>-53</v>
      </c>
      <c r="I12" s="200">
        <v>-5.2420220067405439E-2</v>
      </c>
    </row>
    <row r="13" spans="1:9" x14ac:dyDescent="0.25">
      <c r="A13" s="190" t="s">
        <v>802</v>
      </c>
      <c r="B13" s="211" t="s">
        <v>1721</v>
      </c>
      <c r="C13" s="671"/>
      <c r="D13" s="213">
        <v>34</v>
      </c>
      <c r="E13" s="200">
        <v>3.8052176248726935E-2</v>
      </c>
      <c r="F13" s="201">
        <v>58</v>
      </c>
      <c r="G13" s="200">
        <v>6.0623706553536549E-2</v>
      </c>
      <c r="H13" s="201">
        <v>-48</v>
      </c>
      <c r="I13" s="200">
        <v>-4.732295799545165E-2</v>
      </c>
    </row>
    <row r="14" spans="1:9" x14ac:dyDescent="0.25">
      <c r="A14" s="193" t="s">
        <v>803</v>
      </c>
      <c r="B14" s="211"/>
      <c r="C14" s="671"/>
      <c r="D14" s="213">
        <v>-32</v>
      </c>
      <c r="E14" s="200">
        <v>-3.5813812939978283E-2</v>
      </c>
      <c r="F14" s="201">
        <v>-16</v>
      </c>
      <c r="G14" s="200">
        <v>-1.6829161158140375E-2</v>
      </c>
      <c r="H14" s="201">
        <v>-113</v>
      </c>
      <c r="I14" s="200">
        <v>-0.11218125965993572</v>
      </c>
    </row>
    <row r="15" spans="1:9" x14ac:dyDescent="0.25">
      <c r="A15" s="193" t="s">
        <v>804</v>
      </c>
      <c r="B15" s="212" t="s">
        <v>1722</v>
      </c>
      <c r="C15" s="212" t="s">
        <v>126</v>
      </c>
      <c r="D15" s="212">
        <v>42</v>
      </c>
      <c r="E15" s="200">
        <v>4.7005629483721501E-2</v>
      </c>
      <c r="F15" s="201">
        <v>50</v>
      </c>
      <c r="G15" s="200">
        <v>5.259112861918868E-2</v>
      </c>
      <c r="H15" s="201">
        <v>14</v>
      </c>
      <c r="I15" s="200">
        <v>1.389856314370885E-2</v>
      </c>
    </row>
    <row r="16" spans="1:9" x14ac:dyDescent="0.25">
      <c r="A16" s="193" t="s">
        <v>805</v>
      </c>
      <c r="B16" s="212" t="s">
        <v>1723</v>
      </c>
      <c r="C16" s="212" t="s">
        <v>126</v>
      </c>
      <c r="D16" s="212">
        <v>28</v>
      </c>
      <c r="E16" s="200">
        <v>3.1337086322481E-2</v>
      </c>
      <c r="F16" s="201">
        <v>33</v>
      </c>
      <c r="G16" s="200">
        <v>3.4710144888664522E-2</v>
      </c>
      <c r="H16" s="201">
        <v>38</v>
      </c>
      <c r="I16" s="200">
        <v>3.7724671390066883E-2</v>
      </c>
    </row>
    <row r="17" spans="1:9" x14ac:dyDescent="0.25">
      <c r="A17" s="194" t="s">
        <v>806</v>
      </c>
      <c r="B17" s="214" t="s">
        <v>1721</v>
      </c>
      <c r="C17" s="214" t="s">
        <v>781</v>
      </c>
      <c r="D17" s="214">
        <v>-7</v>
      </c>
      <c r="E17" s="215">
        <v>-7.8342715806202501E-3</v>
      </c>
      <c r="F17" s="216">
        <v>-4</v>
      </c>
      <c r="G17" s="215">
        <v>-4.2072902895350936E-3</v>
      </c>
      <c r="H17" s="216">
        <v>-1</v>
      </c>
      <c r="I17" s="215">
        <v>-9.9275451026491776E-4</v>
      </c>
    </row>
    <row r="18" spans="1:9" x14ac:dyDescent="0.25">
      <c r="A18" s="190" t="s">
        <v>807</v>
      </c>
      <c r="B18" s="211" t="s">
        <v>1721</v>
      </c>
      <c r="C18" s="671"/>
      <c r="D18" s="213">
        <v>-57</v>
      </c>
      <c r="E18" s="672">
        <v>-6.379335429933633E-2</v>
      </c>
      <c r="F18" s="673">
        <v>-45</v>
      </c>
      <c r="G18" s="672">
        <v>-4.7288891031802074E-2</v>
      </c>
      <c r="H18" s="673">
        <v>-46</v>
      </c>
      <c r="I18" s="672">
        <v>-4.5698475616514696E-2</v>
      </c>
    </row>
    <row r="19" spans="1:9" x14ac:dyDescent="0.25">
      <c r="A19" s="195" t="s">
        <v>808</v>
      </c>
      <c r="B19" s="217" t="s">
        <v>1724</v>
      </c>
      <c r="C19" s="217" t="s">
        <v>1725</v>
      </c>
      <c r="D19" s="217">
        <v>-50</v>
      </c>
      <c r="E19" s="203">
        <v>-5.595908271871608E-2</v>
      </c>
      <c r="F19" s="202">
        <v>-47</v>
      </c>
      <c r="G19" s="203">
        <v>-4.9435660902037354E-2</v>
      </c>
      <c r="H19" s="202">
        <v>-48</v>
      </c>
      <c r="I19" s="203">
        <v>-4.765221649271606E-2</v>
      </c>
    </row>
    <row r="20" spans="1:9" x14ac:dyDescent="0.25">
      <c r="A20" s="194" t="s">
        <v>809</v>
      </c>
      <c r="B20" s="218" t="s">
        <v>1721</v>
      </c>
      <c r="C20" s="674"/>
      <c r="D20" s="219">
        <v>-42</v>
      </c>
      <c r="E20" s="675">
        <v>-4.7005629483721501E-2</v>
      </c>
      <c r="F20" s="676">
        <v>-39</v>
      </c>
      <c r="G20" s="675">
        <v>-4.0941403879577273E-2</v>
      </c>
      <c r="H20" s="676">
        <v>-64</v>
      </c>
      <c r="I20" s="675">
        <v>-6.406152170419592E-2</v>
      </c>
    </row>
    <row r="21" spans="1:9" x14ac:dyDescent="0.25">
      <c r="A21" s="190" t="s">
        <v>810</v>
      </c>
      <c r="B21" s="211" t="s">
        <v>1721</v>
      </c>
      <c r="C21" s="671"/>
      <c r="D21" s="213">
        <v>-253</v>
      </c>
      <c r="E21" s="200">
        <v>-0.28315295855670336</v>
      </c>
      <c r="F21" s="201">
        <v>43</v>
      </c>
      <c r="G21" s="200">
        <v>4.526001347447841E-2</v>
      </c>
      <c r="H21" s="201">
        <v>-269</v>
      </c>
      <c r="I21" s="200">
        <v>-0.26675024109474127</v>
      </c>
    </row>
    <row r="22" spans="1:9" x14ac:dyDescent="0.25">
      <c r="A22" s="193" t="s">
        <v>811</v>
      </c>
      <c r="B22" s="212" t="s">
        <v>1726</v>
      </c>
      <c r="C22" s="212" t="s">
        <v>766</v>
      </c>
      <c r="D22" s="212">
        <v>0</v>
      </c>
      <c r="E22" s="200">
        <v>0</v>
      </c>
      <c r="F22" s="201">
        <v>64</v>
      </c>
      <c r="G22" s="200">
        <v>6.7316644632561498E-2</v>
      </c>
      <c r="H22" s="201">
        <v>70</v>
      </c>
      <c r="I22" s="200">
        <v>6.9492815718544237E-2</v>
      </c>
    </row>
    <row r="23" spans="1:9" x14ac:dyDescent="0.25">
      <c r="A23" s="193" t="s">
        <v>812</v>
      </c>
      <c r="B23" s="212" t="s">
        <v>1724</v>
      </c>
      <c r="C23" s="212" t="s">
        <v>1727</v>
      </c>
      <c r="D23" s="212">
        <v>-192</v>
      </c>
      <c r="E23" s="200">
        <v>0</v>
      </c>
      <c r="F23" s="201">
        <v>-79</v>
      </c>
      <c r="G23" s="200">
        <v>-8.309398321831811E-2</v>
      </c>
      <c r="H23" s="201">
        <v>-79</v>
      </c>
      <c r="I23" s="200">
        <v>-7.8427606310928516E-2</v>
      </c>
    </row>
    <row r="24" spans="1:9" ht="14.25" thickBot="1" x14ac:dyDescent="0.3">
      <c r="A24" s="196" t="s">
        <v>813</v>
      </c>
      <c r="B24" s="220" t="s">
        <v>1724</v>
      </c>
      <c r="C24" s="220" t="s">
        <v>766</v>
      </c>
      <c r="D24" s="220">
        <v>0</v>
      </c>
      <c r="E24" s="220">
        <v>0</v>
      </c>
      <c r="F24" s="206">
        <v>0</v>
      </c>
      <c r="G24" s="220">
        <v>0</v>
      </c>
      <c r="H24" s="206">
        <v>-385</v>
      </c>
      <c r="I24" s="205">
        <v>-0.38221048645199335</v>
      </c>
    </row>
    <row r="25" spans="1:9" ht="14.25" thickBot="1" x14ac:dyDescent="0.3">
      <c r="A25" s="112" t="s">
        <v>293</v>
      </c>
      <c r="B25" s="221" t="s">
        <v>16</v>
      </c>
      <c r="C25" s="221" t="s">
        <v>16</v>
      </c>
      <c r="D25" s="222">
        <f>D7+D11</f>
        <v>-449.52723499999894</v>
      </c>
      <c r="E25" s="223">
        <f t="shared" ref="E25:I25" si="1">E7+E11</f>
        <v>-0.50310263455361326</v>
      </c>
      <c r="F25" s="222">
        <f t="shared" si="1"/>
        <v>-164.10587633100081</v>
      </c>
      <c r="G25" s="223">
        <f t="shared" si="1"/>
        <v>-0.17279496180879497</v>
      </c>
      <c r="H25" s="222">
        <f t="shared" si="1"/>
        <v>-619.05276184171464</v>
      </c>
      <c r="I25" s="223">
        <f t="shared" si="1"/>
        <v>-0.61429867296146468</v>
      </c>
    </row>
    <row r="26" spans="1:9" x14ac:dyDescent="0.25">
      <c r="H26" s="918" t="s">
        <v>21</v>
      </c>
      <c r="I26" s="918"/>
    </row>
    <row r="29" spans="1:9" ht="14.25" thickBot="1" x14ac:dyDescent="0.3">
      <c r="A29" s="896" t="s">
        <v>815</v>
      </c>
      <c r="B29" s="896"/>
      <c r="C29" s="896"/>
      <c r="D29" s="896"/>
      <c r="E29" s="896"/>
      <c r="F29" s="896"/>
      <c r="G29" s="896"/>
      <c r="H29" s="896"/>
      <c r="I29" s="896"/>
    </row>
    <row r="30" spans="1:9" x14ac:dyDescent="0.25">
      <c r="A30" s="19"/>
      <c r="B30" s="19"/>
      <c r="C30" s="19"/>
      <c r="D30" s="959">
        <f>D5</f>
        <v>2018</v>
      </c>
      <c r="E30" s="959"/>
      <c r="F30" s="959">
        <f t="shared" ref="F30" si="2">F5</f>
        <v>2019</v>
      </c>
      <c r="G30" s="959"/>
      <c r="H30" s="959">
        <f t="shared" ref="H30" si="3">H5</f>
        <v>2020</v>
      </c>
      <c r="I30" s="959"/>
    </row>
    <row r="31" spans="1:9" ht="14.25" thickBot="1" x14ac:dyDescent="0.3">
      <c r="A31" s="5" t="s">
        <v>452</v>
      </c>
      <c r="B31" s="5" t="s">
        <v>816</v>
      </c>
      <c r="C31" s="5" t="s">
        <v>796</v>
      </c>
      <c r="D31" s="182" t="s">
        <v>124</v>
      </c>
      <c r="E31" s="182" t="s">
        <v>453</v>
      </c>
      <c r="F31" s="182" t="s">
        <v>124</v>
      </c>
      <c r="G31" s="182" t="s">
        <v>453</v>
      </c>
      <c r="H31" s="182" t="s">
        <v>124</v>
      </c>
      <c r="I31" s="182" t="s">
        <v>453</v>
      </c>
    </row>
    <row r="32" spans="1:9" x14ac:dyDescent="0.25">
      <c r="A32" s="224" t="s">
        <v>454</v>
      </c>
      <c r="B32" s="669"/>
      <c r="C32" s="197"/>
      <c r="D32" s="198">
        <f t="shared" ref="D32:I32" si="4">D7</f>
        <v>-23.527234999998939</v>
      </c>
      <c r="E32" s="197">
        <f t="shared" si="4"/>
        <v>-2.6331249790152254E-2</v>
      </c>
      <c r="F32" s="198">
        <f t="shared" si="4"/>
        <v>-36.105876331000822</v>
      </c>
      <c r="G32" s="197">
        <f t="shared" si="4"/>
        <v>-3.7976975720643687E-2</v>
      </c>
      <c r="H32" s="198">
        <f t="shared" si="4"/>
        <v>-138.05276184171467</v>
      </c>
      <c r="I32" s="197">
        <f t="shared" si="4"/>
        <v>-0.13705250197289079</v>
      </c>
    </row>
    <row r="33" spans="1:9" x14ac:dyDescent="0.25">
      <c r="A33" s="190" t="s">
        <v>455</v>
      </c>
      <c r="B33" s="199" t="str">
        <f>B8</f>
        <v>S13</v>
      </c>
      <c r="C33" s="200">
        <f>C8</f>
        <v>0</v>
      </c>
      <c r="D33" s="201">
        <f t="shared" ref="D33:I33" si="5">D8</f>
        <v>32.058</v>
      </c>
      <c r="E33" s="200">
        <f t="shared" si="5"/>
        <v>3.5878725475931995E-2</v>
      </c>
      <c r="F33" s="201">
        <f t="shared" si="5"/>
        <v>37.710999999999999</v>
      </c>
      <c r="G33" s="200">
        <f t="shared" si="5"/>
        <v>3.9665281027164483E-2</v>
      </c>
      <c r="H33" s="201">
        <f t="shared" si="5"/>
        <v>37.710999999999999</v>
      </c>
      <c r="I33" s="200">
        <f t="shared" si="5"/>
        <v>3.7437765336600315E-2</v>
      </c>
    </row>
    <row r="34" spans="1:9" x14ac:dyDescent="0.25">
      <c r="A34" s="190" t="s">
        <v>817</v>
      </c>
      <c r="B34" s="199" t="str">
        <f t="shared" ref="B34:I34" si="6">B9</f>
        <v>S13</v>
      </c>
      <c r="C34" s="200">
        <f t="shared" si="6"/>
        <v>0</v>
      </c>
      <c r="D34" s="202">
        <f t="shared" si="6"/>
        <v>-72.335999999999999</v>
      </c>
      <c r="E34" s="203">
        <f t="shared" si="6"/>
        <v>-8.0957124150820917E-2</v>
      </c>
      <c r="F34" s="202">
        <f t="shared" si="6"/>
        <v>-123.374</v>
      </c>
      <c r="G34" s="203">
        <f t="shared" si="6"/>
        <v>-0.12976755804527568</v>
      </c>
      <c r="H34" s="202">
        <f t="shared" si="6"/>
        <v>-184.471</v>
      </c>
      <c r="I34" s="203">
        <f t="shared" si="6"/>
        <v>-0.18313441726307966</v>
      </c>
    </row>
    <row r="35" spans="1:9" ht="14.25" thickBot="1" x14ac:dyDescent="0.3">
      <c r="A35" s="191" t="s">
        <v>456</v>
      </c>
      <c r="B35" s="204" t="str">
        <f t="shared" ref="B35:I35" si="7">B10</f>
        <v>S13</v>
      </c>
      <c r="C35" s="205">
        <f t="shared" si="7"/>
        <v>0</v>
      </c>
      <c r="D35" s="206">
        <f t="shared" si="7"/>
        <v>16.75076500000106</v>
      </c>
      <c r="E35" s="205">
        <f t="shared" si="7"/>
        <v>1.8747148884736668E-2</v>
      </c>
      <c r="F35" s="206">
        <f t="shared" si="7"/>
        <v>49.557123668999175</v>
      </c>
      <c r="G35" s="205">
        <f t="shared" si="7"/>
        <v>5.2125301297467501E-2</v>
      </c>
      <c r="H35" s="206">
        <f t="shared" si="7"/>
        <v>8.7072381582853264</v>
      </c>
      <c r="I35" s="205">
        <f t="shared" si="7"/>
        <v>8.6441499535885539E-3</v>
      </c>
    </row>
    <row r="36" spans="1:9" x14ac:dyDescent="0.25">
      <c r="A36" s="192" t="s">
        <v>832</v>
      </c>
      <c r="B36" s="670"/>
      <c r="C36" s="207">
        <f t="shared" ref="C36:I36" si="8">C11</f>
        <v>0</v>
      </c>
      <c r="D36" s="208">
        <f t="shared" si="8"/>
        <v>-426</v>
      </c>
      <c r="E36" s="209">
        <f t="shared" si="8"/>
        <v>-0.47677138476346098</v>
      </c>
      <c r="F36" s="210">
        <f t="shared" si="8"/>
        <v>-128</v>
      </c>
      <c r="G36" s="209">
        <f t="shared" si="8"/>
        <v>-0.13481798608815129</v>
      </c>
      <c r="H36" s="210">
        <f t="shared" si="8"/>
        <v>-481</v>
      </c>
      <c r="I36" s="209">
        <f t="shared" si="8"/>
        <v>-0.47724617098857391</v>
      </c>
    </row>
    <row r="37" spans="1:9" x14ac:dyDescent="0.25">
      <c r="A37" s="190" t="s">
        <v>818</v>
      </c>
      <c r="B37" s="211" t="str">
        <f t="shared" ref="B37:I37" si="9">B12</f>
        <v>S.13</v>
      </c>
      <c r="C37" s="212" t="str">
        <f t="shared" si="9"/>
        <v>D.1</v>
      </c>
      <c r="D37" s="212">
        <f t="shared" si="9"/>
        <v>-101</v>
      </c>
      <c r="E37" s="200">
        <f t="shared" si="9"/>
        <v>-0.11303734709180648</v>
      </c>
      <c r="F37" s="201">
        <f t="shared" si="9"/>
        <v>-141</v>
      </c>
      <c r="G37" s="200">
        <f t="shared" si="9"/>
        <v>-0.14826412091525182</v>
      </c>
      <c r="H37" s="201">
        <f t="shared" si="9"/>
        <v>-53</v>
      </c>
      <c r="I37" s="200">
        <f t="shared" si="9"/>
        <v>-5.2420220067405439E-2</v>
      </c>
    </row>
    <row r="38" spans="1:9" x14ac:dyDescent="0.25">
      <c r="A38" s="190" t="s">
        <v>825</v>
      </c>
      <c r="B38" s="211" t="str">
        <f t="shared" ref="B38:I38" si="10">B13</f>
        <v>S.13</v>
      </c>
      <c r="C38" s="671"/>
      <c r="D38" s="213">
        <f t="shared" si="10"/>
        <v>34</v>
      </c>
      <c r="E38" s="200">
        <f t="shared" si="10"/>
        <v>3.8052176248726935E-2</v>
      </c>
      <c r="F38" s="201">
        <f t="shared" si="10"/>
        <v>58</v>
      </c>
      <c r="G38" s="200">
        <f t="shared" si="10"/>
        <v>6.0623706553536549E-2</v>
      </c>
      <c r="H38" s="201">
        <f t="shared" si="10"/>
        <v>-48</v>
      </c>
      <c r="I38" s="200">
        <f t="shared" si="10"/>
        <v>-4.732295799545165E-2</v>
      </c>
    </row>
    <row r="39" spans="1:9" x14ac:dyDescent="0.25">
      <c r="A39" s="193" t="s">
        <v>821</v>
      </c>
      <c r="B39" s="211"/>
      <c r="C39" s="671"/>
      <c r="D39" s="213">
        <f t="shared" ref="D39:I39" si="11">D14</f>
        <v>-32</v>
      </c>
      <c r="E39" s="200">
        <f t="shared" si="11"/>
        <v>-3.5813812939978283E-2</v>
      </c>
      <c r="F39" s="201">
        <f t="shared" si="11"/>
        <v>-16</v>
      </c>
      <c r="G39" s="200">
        <f t="shared" si="11"/>
        <v>-1.6829161158140375E-2</v>
      </c>
      <c r="H39" s="201">
        <f t="shared" si="11"/>
        <v>-113</v>
      </c>
      <c r="I39" s="200">
        <f t="shared" si="11"/>
        <v>-0.11218125965993572</v>
      </c>
    </row>
    <row r="40" spans="1:9" x14ac:dyDescent="0.25">
      <c r="A40" s="193" t="s">
        <v>819</v>
      </c>
      <c r="B40" s="212" t="str">
        <f t="shared" ref="B40:I40" si="12">B15</f>
        <v>S1313</v>
      </c>
      <c r="C40" s="212" t="str">
        <f t="shared" si="12"/>
        <v>P.2</v>
      </c>
      <c r="D40" s="212">
        <f t="shared" si="12"/>
        <v>42</v>
      </c>
      <c r="E40" s="200">
        <f t="shared" si="12"/>
        <v>4.7005629483721501E-2</v>
      </c>
      <c r="F40" s="201">
        <f t="shared" si="12"/>
        <v>50</v>
      </c>
      <c r="G40" s="200">
        <f t="shared" si="12"/>
        <v>5.259112861918868E-2</v>
      </c>
      <c r="H40" s="201">
        <f t="shared" si="12"/>
        <v>14</v>
      </c>
      <c r="I40" s="200">
        <f t="shared" si="12"/>
        <v>1.389856314370885E-2</v>
      </c>
    </row>
    <row r="41" spans="1:9" x14ac:dyDescent="0.25">
      <c r="A41" s="193" t="s">
        <v>820</v>
      </c>
      <c r="B41" s="212" t="str">
        <f t="shared" ref="B41:I41" si="13">B16</f>
        <v>S1311</v>
      </c>
      <c r="C41" s="212" t="str">
        <f t="shared" si="13"/>
        <v>P.2</v>
      </c>
      <c r="D41" s="212">
        <f t="shared" si="13"/>
        <v>28</v>
      </c>
      <c r="E41" s="200">
        <f t="shared" si="13"/>
        <v>3.1337086322481E-2</v>
      </c>
      <c r="F41" s="201">
        <f t="shared" si="13"/>
        <v>33</v>
      </c>
      <c r="G41" s="200">
        <f t="shared" si="13"/>
        <v>3.4710144888664522E-2</v>
      </c>
      <c r="H41" s="201">
        <f t="shared" si="13"/>
        <v>38</v>
      </c>
      <c r="I41" s="200">
        <f t="shared" si="13"/>
        <v>3.7724671390066883E-2</v>
      </c>
    </row>
    <row r="42" spans="1:9" x14ac:dyDescent="0.25">
      <c r="A42" s="194" t="s">
        <v>822</v>
      </c>
      <c r="B42" s="214" t="str">
        <f t="shared" ref="B42:I42" si="14">B17</f>
        <v>S.13</v>
      </c>
      <c r="C42" s="214" t="str">
        <f t="shared" si="14"/>
        <v>D.3p</v>
      </c>
      <c r="D42" s="214">
        <f t="shared" si="14"/>
        <v>-7</v>
      </c>
      <c r="E42" s="215">
        <f t="shared" si="14"/>
        <v>-7.8342715806202501E-3</v>
      </c>
      <c r="F42" s="216">
        <f t="shared" si="14"/>
        <v>-4</v>
      </c>
      <c r="G42" s="215">
        <f t="shared" si="14"/>
        <v>-4.2072902895350936E-3</v>
      </c>
      <c r="H42" s="216">
        <f t="shared" si="14"/>
        <v>-1</v>
      </c>
      <c r="I42" s="215">
        <f t="shared" si="14"/>
        <v>-9.9275451026491776E-4</v>
      </c>
    </row>
    <row r="43" spans="1:9" x14ac:dyDescent="0.25">
      <c r="A43" s="190" t="s">
        <v>826</v>
      </c>
      <c r="B43" s="211" t="str">
        <f t="shared" ref="B43:I43" si="15">B18</f>
        <v>S.13</v>
      </c>
      <c r="C43" s="671"/>
      <c r="D43" s="213">
        <f t="shared" si="15"/>
        <v>-57</v>
      </c>
      <c r="E43" s="672">
        <f t="shared" si="15"/>
        <v>-6.379335429933633E-2</v>
      </c>
      <c r="F43" s="673">
        <f t="shared" si="15"/>
        <v>-45</v>
      </c>
      <c r="G43" s="672">
        <f t="shared" si="15"/>
        <v>-4.7288891031802074E-2</v>
      </c>
      <c r="H43" s="673">
        <f t="shared" si="15"/>
        <v>-46</v>
      </c>
      <c r="I43" s="672">
        <f t="shared" si="15"/>
        <v>-4.5698475616514696E-2</v>
      </c>
    </row>
    <row r="44" spans="1:9" x14ac:dyDescent="0.25">
      <c r="A44" s="195" t="s">
        <v>823</v>
      </c>
      <c r="B44" s="217" t="str">
        <f t="shared" ref="B44:I44" si="16">B19</f>
        <v>S.1311</v>
      </c>
      <c r="C44" s="217" t="str">
        <f t="shared" si="16"/>
        <v>D.62p</v>
      </c>
      <c r="D44" s="217">
        <f t="shared" si="16"/>
        <v>-50</v>
      </c>
      <c r="E44" s="203">
        <f t="shared" si="16"/>
        <v>-5.595908271871608E-2</v>
      </c>
      <c r="F44" s="202">
        <f t="shared" si="16"/>
        <v>-47</v>
      </c>
      <c r="G44" s="203">
        <f t="shared" si="16"/>
        <v>-4.9435660902037354E-2</v>
      </c>
      <c r="H44" s="202">
        <f t="shared" si="16"/>
        <v>-48</v>
      </c>
      <c r="I44" s="203">
        <f t="shared" si="16"/>
        <v>-4.765221649271606E-2</v>
      </c>
    </row>
    <row r="45" spans="1:9" x14ac:dyDescent="0.25">
      <c r="A45" s="194" t="s">
        <v>824</v>
      </c>
      <c r="B45" s="218" t="str">
        <f t="shared" ref="B45:I45" si="17">B20</f>
        <v>S.13</v>
      </c>
      <c r="C45" s="674"/>
      <c r="D45" s="219">
        <f t="shared" si="17"/>
        <v>-42</v>
      </c>
      <c r="E45" s="675">
        <f t="shared" si="17"/>
        <v>-4.7005629483721501E-2</v>
      </c>
      <c r="F45" s="676">
        <f t="shared" si="17"/>
        <v>-39</v>
      </c>
      <c r="G45" s="675">
        <f t="shared" si="17"/>
        <v>-4.0941403879577273E-2</v>
      </c>
      <c r="H45" s="676">
        <f t="shared" si="17"/>
        <v>-64</v>
      </c>
      <c r="I45" s="675">
        <f t="shared" si="17"/>
        <v>-6.406152170419592E-2</v>
      </c>
    </row>
    <row r="46" spans="1:9" x14ac:dyDescent="0.25">
      <c r="A46" s="190" t="s">
        <v>827</v>
      </c>
      <c r="B46" s="211" t="str">
        <f t="shared" ref="B46:I46" si="18">B21</f>
        <v>S.13</v>
      </c>
      <c r="C46" s="671"/>
      <c r="D46" s="213">
        <f t="shared" si="18"/>
        <v>-253</v>
      </c>
      <c r="E46" s="200">
        <f t="shared" si="18"/>
        <v>-0.28315295855670336</v>
      </c>
      <c r="F46" s="201">
        <f t="shared" si="18"/>
        <v>43</v>
      </c>
      <c r="G46" s="200">
        <f t="shared" si="18"/>
        <v>4.526001347447841E-2</v>
      </c>
      <c r="H46" s="201">
        <f t="shared" si="18"/>
        <v>-269</v>
      </c>
      <c r="I46" s="200">
        <f t="shared" si="18"/>
        <v>-0.26675024109474127</v>
      </c>
    </row>
    <row r="47" spans="1:9" x14ac:dyDescent="0.25">
      <c r="A47" s="193" t="s">
        <v>828</v>
      </c>
      <c r="B47" s="212" t="str">
        <f t="shared" ref="B47:I47" si="19">B22</f>
        <v>S.1313</v>
      </c>
      <c r="C47" s="212" t="str">
        <f t="shared" si="19"/>
        <v>P.51g</v>
      </c>
      <c r="D47" s="212">
        <f t="shared" si="19"/>
        <v>0</v>
      </c>
      <c r="E47" s="200">
        <f t="shared" si="19"/>
        <v>0</v>
      </c>
      <c r="F47" s="201">
        <f t="shared" si="19"/>
        <v>64</v>
      </c>
      <c r="G47" s="200">
        <f t="shared" si="19"/>
        <v>6.7316644632561498E-2</v>
      </c>
      <c r="H47" s="201">
        <f t="shared" si="19"/>
        <v>70</v>
      </c>
      <c r="I47" s="200">
        <f t="shared" si="19"/>
        <v>6.9492815718544237E-2</v>
      </c>
    </row>
    <row r="48" spans="1:9" x14ac:dyDescent="0.25">
      <c r="A48" s="193" t="s">
        <v>829</v>
      </c>
      <c r="B48" s="212" t="str">
        <f t="shared" ref="B48:I48" si="20">B23</f>
        <v>S.1311</v>
      </c>
      <c r="C48" s="212" t="str">
        <f t="shared" si="20"/>
        <v>P.51g/D.9p</v>
      </c>
      <c r="D48" s="212">
        <f t="shared" si="20"/>
        <v>-192</v>
      </c>
      <c r="E48" s="200">
        <f t="shared" si="20"/>
        <v>0</v>
      </c>
      <c r="F48" s="201">
        <f t="shared" si="20"/>
        <v>-79</v>
      </c>
      <c r="G48" s="200">
        <f t="shared" si="20"/>
        <v>-8.309398321831811E-2</v>
      </c>
      <c r="H48" s="201">
        <f t="shared" si="20"/>
        <v>-79</v>
      </c>
      <c r="I48" s="200">
        <f t="shared" si="20"/>
        <v>-7.8427606310928516E-2</v>
      </c>
    </row>
    <row r="49" spans="1:9" ht="14.25" thickBot="1" x14ac:dyDescent="0.3">
      <c r="A49" s="196" t="s">
        <v>830</v>
      </c>
      <c r="B49" s="220" t="str">
        <f t="shared" ref="B49:I49" si="21">B24</f>
        <v>S.1311</v>
      </c>
      <c r="C49" s="220" t="str">
        <f t="shared" si="21"/>
        <v>P.51g</v>
      </c>
      <c r="D49" s="220">
        <f t="shared" si="21"/>
        <v>0</v>
      </c>
      <c r="E49" s="220">
        <f t="shared" si="21"/>
        <v>0</v>
      </c>
      <c r="F49" s="206">
        <f t="shared" si="21"/>
        <v>0</v>
      </c>
      <c r="G49" s="220">
        <f t="shared" si="21"/>
        <v>0</v>
      </c>
      <c r="H49" s="206">
        <f t="shared" si="21"/>
        <v>-385</v>
      </c>
      <c r="I49" s="205">
        <f t="shared" si="21"/>
        <v>-0.38221048645199335</v>
      </c>
    </row>
    <row r="50" spans="1:9" ht="14.25" thickBot="1" x14ac:dyDescent="0.3">
      <c r="A50" s="112" t="s">
        <v>458</v>
      </c>
      <c r="B50" s="221" t="str">
        <f t="shared" ref="B50:I50" si="22">B25</f>
        <v>-</v>
      </c>
      <c r="C50" s="221" t="str">
        <f t="shared" si="22"/>
        <v>-</v>
      </c>
      <c r="D50" s="222">
        <f t="shared" si="22"/>
        <v>-449.52723499999894</v>
      </c>
      <c r="E50" s="223">
        <f t="shared" si="22"/>
        <v>-0.50310263455361326</v>
      </c>
      <c r="F50" s="222">
        <f t="shared" si="22"/>
        <v>-164.10587633100081</v>
      </c>
      <c r="G50" s="223">
        <f t="shared" si="22"/>
        <v>-0.17279496180879497</v>
      </c>
      <c r="H50" s="222">
        <f t="shared" si="22"/>
        <v>-619.05276184171464</v>
      </c>
      <c r="I50" s="223">
        <f t="shared" si="22"/>
        <v>-0.61429867296146468</v>
      </c>
    </row>
    <row r="51" spans="1:9" x14ac:dyDescent="0.25">
      <c r="H51" s="958" t="s">
        <v>345</v>
      </c>
      <c r="I51" s="958"/>
    </row>
  </sheetData>
  <mergeCells count="10">
    <mergeCell ref="A4:I4"/>
    <mergeCell ref="D5:E5"/>
    <mergeCell ref="F5:G5"/>
    <mergeCell ref="H5:I5"/>
    <mergeCell ref="A29:I29"/>
    <mergeCell ref="H51:I51"/>
    <mergeCell ref="D30:E30"/>
    <mergeCell ref="F30:G30"/>
    <mergeCell ref="H30:I30"/>
    <mergeCell ref="H26:I2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/>
  <dimension ref="B3:J17"/>
  <sheetViews>
    <sheetView showGridLines="0" zoomScale="85" zoomScaleNormal="85" workbookViewId="0">
      <selection activeCell="D13" sqref="D13"/>
    </sheetView>
  </sheetViews>
  <sheetFormatPr defaultRowHeight="13.5" x14ac:dyDescent="0.25"/>
  <cols>
    <col min="1" max="1" width="14.28515625" style="40" customWidth="1"/>
    <col min="2" max="2" width="52" style="40" bestFit="1" customWidth="1"/>
    <col min="3" max="16384" width="9.140625" style="40"/>
  </cols>
  <sheetData>
    <row r="3" spans="2:10" ht="14.25" thickBot="1" x14ac:dyDescent="0.3">
      <c r="B3" s="960" t="s">
        <v>1242</v>
      </c>
      <c r="C3" s="960"/>
      <c r="D3" s="960"/>
      <c r="E3" s="960"/>
      <c r="F3" s="413"/>
      <c r="G3" s="413"/>
      <c r="H3" s="413"/>
      <c r="I3" s="413"/>
      <c r="J3" s="413"/>
    </row>
    <row r="4" spans="2:10" ht="14.25" thickBot="1" x14ac:dyDescent="0.3">
      <c r="B4" s="52"/>
      <c r="C4" s="344">
        <v>2017</v>
      </c>
      <c r="D4" s="344">
        <v>2018</v>
      </c>
      <c r="E4" s="344">
        <v>2019</v>
      </c>
    </row>
    <row r="5" spans="2:10" x14ac:dyDescent="0.25">
      <c r="B5" s="345" t="s">
        <v>1245</v>
      </c>
      <c r="C5" s="346">
        <v>0.09</v>
      </c>
      <c r="D5" s="346">
        <v>0.09</v>
      </c>
      <c r="E5" s="346">
        <v>0.09</v>
      </c>
    </row>
    <row r="6" spans="2:10" x14ac:dyDescent="0.25">
      <c r="B6" s="345" t="s">
        <v>1246</v>
      </c>
      <c r="C6" s="346">
        <v>7.0000000000000007E-2</v>
      </c>
      <c r="D6" s="346">
        <v>7.0000000000000007E-2</v>
      </c>
      <c r="E6" s="346">
        <v>0.06</v>
      </c>
    </row>
    <row r="7" spans="2:10" ht="14.25" thickBot="1" x14ac:dyDescent="0.3">
      <c r="B7" s="347" t="s">
        <v>1247</v>
      </c>
      <c r="C7" s="348">
        <v>0</v>
      </c>
      <c r="D7" s="348">
        <v>-0.09</v>
      </c>
      <c r="E7" s="348">
        <v>-0.08</v>
      </c>
    </row>
    <row r="8" spans="2:10" ht="14.25" thickBot="1" x14ac:dyDescent="0.3">
      <c r="B8" s="5" t="s">
        <v>54</v>
      </c>
      <c r="C8" s="344">
        <v>0.15</v>
      </c>
      <c r="D8" s="344">
        <v>0.06</v>
      </c>
      <c r="E8" s="344">
        <v>7.0000000000000007E-2</v>
      </c>
    </row>
    <row r="9" spans="2:10" x14ac:dyDescent="0.25">
      <c r="E9" s="40" t="s">
        <v>21</v>
      </c>
    </row>
    <row r="11" spans="2:10" ht="14.25" thickBot="1" x14ac:dyDescent="0.3">
      <c r="B11" s="960" t="s">
        <v>1243</v>
      </c>
      <c r="C11" s="960"/>
      <c r="D11" s="960"/>
      <c r="E11" s="960"/>
    </row>
    <row r="12" spans="2:10" ht="14.25" thickBot="1" x14ac:dyDescent="0.3">
      <c r="B12" s="52"/>
      <c r="C12" s="344">
        <v>2017</v>
      </c>
      <c r="D12" s="344">
        <v>2018</v>
      </c>
      <c r="E12" s="344">
        <v>2019</v>
      </c>
    </row>
    <row r="13" spans="2:10" x14ac:dyDescent="0.25">
      <c r="B13" s="345" t="s">
        <v>1248</v>
      </c>
      <c r="C13" s="346">
        <v>0.09</v>
      </c>
      <c r="D13" s="346">
        <v>0.09</v>
      </c>
      <c r="E13" s="346">
        <v>0.09</v>
      </c>
    </row>
    <row r="14" spans="2:10" x14ac:dyDescent="0.25">
      <c r="B14" s="345" t="s">
        <v>1244</v>
      </c>
      <c r="C14" s="346">
        <v>7.0000000000000007E-2</v>
      </c>
      <c r="D14" s="346">
        <v>7.0000000000000007E-2</v>
      </c>
      <c r="E14" s="346">
        <v>0.06</v>
      </c>
    </row>
    <row r="15" spans="2:10" ht="14.25" thickBot="1" x14ac:dyDescent="0.3">
      <c r="B15" s="347" t="s">
        <v>1249</v>
      </c>
      <c r="C15" s="348">
        <v>0</v>
      </c>
      <c r="D15" s="348">
        <v>-0.09</v>
      </c>
      <c r="E15" s="348">
        <v>-0.08</v>
      </c>
    </row>
    <row r="16" spans="2:10" ht="14.25" thickBot="1" x14ac:dyDescent="0.3">
      <c r="B16" s="5" t="s">
        <v>451</v>
      </c>
      <c r="C16" s="344">
        <v>0.15</v>
      </c>
      <c r="D16" s="344">
        <v>0.06</v>
      </c>
      <c r="E16" s="344">
        <v>7.0000000000000007E-2</v>
      </c>
    </row>
    <row r="17" spans="5:5" x14ac:dyDescent="0.25">
      <c r="E17" s="40" t="s">
        <v>345</v>
      </c>
    </row>
  </sheetData>
  <mergeCells count="2">
    <mergeCell ref="B3:E3"/>
    <mergeCell ref="B11:E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3:J40"/>
  <sheetViews>
    <sheetView showGridLines="0" zoomScale="85" zoomScaleNormal="85" workbookViewId="0">
      <selection activeCell="G10" sqref="G10"/>
    </sheetView>
  </sheetViews>
  <sheetFormatPr defaultRowHeight="13.5" x14ac:dyDescent="0.25"/>
  <cols>
    <col min="1" max="2" width="9.140625" style="40"/>
    <col min="3" max="3" width="12.5703125" style="40" bestFit="1" customWidth="1"/>
    <col min="4" max="5" width="9.140625" style="40"/>
    <col min="6" max="6" width="12.5703125" style="40" bestFit="1" customWidth="1"/>
    <col min="7" max="16384" width="9.140625" style="40"/>
  </cols>
  <sheetData>
    <row r="3" spans="1:10" ht="14.25" thickBot="1" x14ac:dyDescent="0.3">
      <c r="A3" s="897" t="s">
        <v>524</v>
      </c>
      <c r="B3" s="897"/>
      <c r="C3" s="897"/>
      <c r="D3" s="897"/>
      <c r="E3" s="897"/>
      <c r="F3" s="897"/>
      <c r="G3" s="897"/>
      <c r="H3" s="897"/>
      <c r="I3" s="897"/>
      <c r="J3" s="897"/>
    </row>
    <row r="4" spans="1:10" x14ac:dyDescent="0.25">
      <c r="A4" s="9"/>
      <c r="B4" s="10"/>
      <c r="C4" s="911" t="s">
        <v>5</v>
      </c>
      <c r="D4" s="911"/>
      <c r="E4" s="911"/>
      <c r="F4" s="912"/>
      <c r="G4" s="913" t="s">
        <v>6</v>
      </c>
      <c r="H4" s="914"/>
      <c r="I4" s="914"/>
      <c r="J4" s="914"/>
    </row>
    <row r="5" spans="1:10" ht="14.25" thickBot="1" x14ac:dyDescent="0.3">
      <c r="A5" s="455"/>
      <c r="B5" s="456"/>
      <c r="C5" s="455">
        <v>2016</v>
      </c>
      <c r="D5" s="915">
        <v>2017</v>
      </c>
      <c r="E5" s="915"/>
      <c r="F5" s="11">
        <v>2018</v>
      </c>
      <c r="G5" s="456">
        <v>2016</v>
      </c>
      <c r="H5" s="916">
        <v>2017</v>
      </c>
      <c r="I5" s="916"/>
      <c r="J5" s="456">
        <v>2018</v>
      </c>
    </row>
    <row r="6" spans="1:10" x14ac:dyDescent="0.25">
      <c r="A6" s="777" t="s">
        <v>7</v>
      </c>
      <c r="B6" s="778"/>
      <c r="C6" s="181"/>
      <c r="D6" s="909"/>
      <c r="E6" s="909"/>
      <c r="F6" s="779"/>
      <c r="G6" s="780"/>
      <c r="H6" s="910"/>
      <c r="I6" s="910"/>
      <c r="J6" s="780"/>
    </row>
    <row r="7" spans="1:10" x14ac:dyDescent="0.25">
      <c r="A7" s="19" t="s">
        <v>8</v>
      </c>
      <c r="B7" s="778"/>
      <c r="C7" s="181">
        <v>1.8</v>
      </c>
      <c r="D7" s="906">
        <v>1.7</v>
      </c>
      <c r="E7" s="906"/>
      <c r="F7" s="779">
        <v>1.7</v>
      </c>
      <c r="G7" s="780">
        <v>1.9</v>
      </c>
      <c r="H7" s="907">
        <v>1.8</v>
      </c>
      <c r="I7" s="907"/>
      <c r="J7" s="780">
        <v>1.8</v>
      </c>
    </row>
    <row r="8" spans="1:10" x14ac:dyDescent="0.25">
      <c r="A8" s="19" t="s">
        <v>9</v>
      </c>
      <c r="B8" s="778"/>
      <c r="C8" s="781">
        <v>1.6231670305548507</v>
      </c>
      <c r="D8" s="908">
        <v>1.697395891285236</v>
      </c>
      <c r="E8" s="908"/>
      <c r="F8" s="782">
        <v>1.7168189722493121</v>
      </c>
      <c r="G8" s="780">
        <v>1.7</v>
      </c>
      <c r="H8" s="907">
        <v>1.6</v>
      </c>
      <c r="I8" s="907"/>
      <c r="J8" s="780">
        <v>1.8</v>
      </c>
    </row>
    <row r="9" spans="1:10" x14ac:dyDescent="0.25">
      <c r="A9" s="19" t="s">
        <v>10</v>
      </c>
      <c r="B9" s="778"/>
      <c r="C9" s="181">
        <v>1.8</v>
      </c>
      <c r="D9" s="906">
        <v>1.7</v>
      </c>
      <c r="E9" s="906"/>
      <c r="F9" s="779">
        <v>1.6</v>
      </c>
      <c r="G9" s="780">
        <v>1.9</v>
      </c>
      <c r="H9" s="907">
        <v>1.6</v>
      </c>
      <c r="I9" s="907"/>
      <c r="J9" s="780">
        <v>1.8</v>
      </c>
    </row>
    <row r="10" spans="1:10" x14ac:dyDescent="0.25">
      <c r="A10" s="19" t="s">
        <v>11</v>
      </c>
      <c r="B10" s="778"/>
      <c r="C10" s="181">
        <v>2.4</v>
      </c>
      <c r="D10" s="906">
        <v>2.5</v>
      </c>
      <c r="E10" s="906"/>
      <c r="F10" s="779">
        <v>2.6</v>
      </c>
      <c r="G10" s="780">
        <v>2.4</v>
      </c>
      <c r="H10" s="907">
        <v>2.6</v>
      </c>
      <c r="I10" s="907"/>
      <c r="J10" s="780">
        <v>2.7</v>
      </c>
    </row>
    <row r="11" spans="1:10" x14ac:dyDescent="0.25">
      <c r="A11" s="19" t="s">
        <v>12</v>
      </c>
      <c r="B11" s="778"/>
      <c r="C11" s="181">
        <v>2.4</v>
      </c>
      <c r="D11" s="906">
        <v>2.6</v>
      </c>
      <c r="E11" s="906"/>
      <c r="F11" s="779">
        <v>2.8</v>
      </c>
      <c r="G11" s="780">
        <v>2.8</v>
      </c>
      <c r="H11" s="907">
        <v>3.2</v>
      </c>
      <c r="I11" s="907"/>
      <c r="J11" s="780">
        <v>3.1</v>
      </c>
    </row>
    <row r="12" spans="1:10" x14ac:dyDescent="0.25">
      <c r="A12" s="19" t="s">
        <v>13</v>
      </c>
      <c r="B12" s="778"/>
      <c r="C12" s="181">
        <v>1.6</v>
      </c>
      <c r="D12" s="906">
        <v>2.4</v>
      </c>
      <c r="E12" s="906"/>
      <c r="F12" s="779">
        <v>2.2999999999999998</v>
      </c>
      <c r="G12" s="780">
        <v>1.9</v>
      </c>
      <c r="H12" s="907">
        <v>3.5</v>
      </c>
      <c r="I12" s="907"/>
      <c r="J12" s="780">
        <v>3.2</v>
      </c>
    </row>
    <row r="13" spans="1:10" x14ac:dyDescent="0.25">
      <c r="A13" s="783" t="s">
        <v>14</v>
      </c>
      <c r="B13" s="784"/>
      <c r="C13" s="785"/>
      <c r="D13" s="905"/>
      <c r="E13" s="905"/>
      <c r="F13" s="786"/>
      <c r="G13" s="787"/>
      <c r="H13" s="903"/>
      <c r="I13" s="903"/>
      <c r="J13" s="787"/>
    </row>
    <row r="14" spans="1:10" x14ac:dyDescent="0.25">
      <c r="A14" s="742" t="s">
        <v>15</v>
      </c>
      <c r="B14" s="784"/>
      <c r="C14" s="788">
        <v>0.143409577137838</v>
      </c>
      <c r="D14" s="900">
        <v>0.41238702637221863</v>
      </c>
      <c r="E14" s="900"/>
      <c r="F14" s="789">
        <v>0.54461045946159747</v>
      </c>
      <c r="G14" s="790" t="s">
        <v>16</v>
      </c>
      <c r="H14" s="903" t="s">
        <v>16</v>
      </c>
      <c r="I14" s="903"/>
      <c r="J14" s="787" t="s">
        <v>16</v>
      </c>
    </row>
    <row r="15" spans="1:10" x14ac:dyDescent="0.25">
      <c r="A15" s="783" t="s">
        <v>17</v>
      </c>
      <c r="B15" s="791"/>
      <c r="C15" s="788">
        <v>0</v>
      </c>
      <c r="D15" s="900">
        <v>0</v>
      </c>
      <c r="E15" s="900"/>
      <c r="F15" s="789">
        <v>0.03</v>
      </c>
      <c r="G15" s="790" t="s">
        <v>16</v>
      </c>
      <c r="H15" s="903" t="s">
        <v>16</v>
      </c>
      <c r="I15" s="903"/>
      <c r="J15" s="787" t="s">
        <v>16</v>
      </c>
    </row>
    <row r="16" spans="1:10" x14ac:dyDescent="0.25">
      <c r="A16" s="742" t="s">
        <v>18</v>
      </c>
      <c r="B16" s="784"/>
      <c r="C16" s="788">
        <v>1.1068440782044042</v>
      </c>
      <c r="D16" s="900">
        <v>1.0628170454545456</v>
      </c>
      <c r="E16" s="900"/>
      <c r="F16" s="789">
        <v>1.1016666666666668</v>
      </c>
      <c r="G16" s="792">
        <v>1.1069</v>
      </c>
      <c r="H16" s="901">
        <v>1.0677000000000001</v>
      </c>
      <c r="I16" s="901"/>
      <c r="J16" s="793">
        <v>1.0683</v>
      </c>
    </row>
    <row r="17" spans="1:10" x14ac:dyDescent="0.25">
      <c r="A17" s="742" t="s">
        <v>19</v>
      </c>
      <c r="B17" s="784"/>
      <c r="C17" s="794">
        <v>45.028708380387734</v>
      </c>
      <c r="D17" s="902">
        <v>55.36249999999999</v>
      </c>
      <c r="E17" s="902"/>
      <c r="F17" s="795">
        <v>55.910833333333336</v>
      </c>
      <c r="G17" s="790">
        <v>44.8</v>
      </c>
      <c r="H17" s="903">
        <v>56.4</v>
      </c>
      <c r="I17" s="903"/>
      <c r="J17" s="787">
        <v>56.9</v>
      </c>
    </row>
    <row r="18" spans="1:10" ht="14.25" thickBot="1" x14ac:dyDescent="0.3">
      <c r="A18" s="724" t="s">
        <v>365</v>
      </c>
      <c r="B18" s="629"/>
      <c r="C18" s="794">
        <v>40.719085197040179</v>
      </c>
      <c r="D18" s="902">
        <v>52.089397062119417</v>
      </c>
      <c r="E18" s="902"/>
      <c r="F18" s="795">
        <v>50.757590393354803</v>
      </c>
      <c r="G18" s="796">
        <v>40.4</v>
      </c>
      <c r="H18" s="904">
        <v>52.8</v>
      </c>
      <c r="I18" s="904"/>
      <c r="J18" s="797">
        <v>53.2</v>
      </c>
    </row>
    <row r="19" spans="1:10" s="115" customFormat="1" ht="54.75" thickBot="1" x14ac:dyDescent="0.3">
      <c r="A19" s="791" t="s">
        <v>366</v>
      </c>
      <c r="B19" s="798"/>
      <c r="C19" s="898">
        <v>3.3</v>
      </c>
      <c r="D19" s="898"/>
      <c r="E19" s="799">
        <v>3.3</v>
      </c>
      <c r="F19" s="800">
        <v>4</v>
      </c>
      <c r="G19" s="801">
        <v>3.3</v>
      </c>
      <c r="H19" s="801">
        <v>2.9</v>
      </c>
      <c r="I19" s="898">
        <v>3.6</v>
      </c>
      <c r="J19" s="898"/>
    </row>
    <row r="20" spans="1:10" x14ac:dyDescent="0.25">
      <c r="A20" s="802"/>
      <c r="B20" s="899" t="s">
        <v>609</v>
      </c>
      <c r="C20" s="899"/>
      <c r="D20" s="899"/>
      <c r="E20" s="899"/>
      <c r="F20" s="899"/>
      <c r="G20" s="899"/>
      <c r="H20" s="899"/>
      <c r="I20" s="899"/>
      <c r="J20" s="899"/>
    </row>
    <row r="23" spans="1:10" ht="14.25" thickBot="1" x14ac:dyDescent="0.3">
      <c r="A23" s="897" t="s">
        <v>525</v>
      </c>
      <c r="B23" s="897"/>
      <c r="C23" s="897"/>
      <c r="D23" s="897"/>
      <c r="E23" s="897"/>
      <c r="F23" s="897"/>
      <c r="G23" s="897"/>
      <c r="H23" s="897"/>
      <c r="I23" s="897"/>
      <c r="J23" s="897"/>
    </row>
    <row r="24" spans="1:10" x14ac:dyDescent="0.25">
      <c r="A24" s="9"/>
      <c r="B24" s="10"/>
      <c r="C24" s="911" t="s">
        <v>572</v>
      </c>
      <c r="D24" s="911"/>
      <c r="E24" s="911"/>
      <c r="F24" s="912"/>
      <c r="G24" s="913" t="s">
        <v>6</v>
      </c>
      <c r="H24" s="914"/>
      <c r="I24" s="914"/>
      <c r="J24" s="914"/>
    </row>
    <row r="25" spans="1:10" ht="14.25" thickBot="1" x14ac:dyDescent="0.3">
      <c r="A25" s="455"/>
      <c r="B25" s="456"/>
      <c r="C25" s="455">
        <v>2016</v>
      </c>
      <c r="D25" s="915">
        <v>2017</v>
      </c>
      <c r="E25" s="915"/>
      <c r="F25" s="11">
        <v>2018</v>
      </c>
      <c r="G25" s="456">
        <v>2016</v>
      </c>
      <c r="H25" s="916">
        <v>2017</v>
      </c>
      <c r="I25" s="916"/>
      <c r="J25" s="456">
        <v>2018</v>
      </c>
    </row>
    <row r="26" spans="1:10" x14ac:dyDescent="0.25">
      <c r="A26" s="777" t="s">
        <v>352</v>
      </c>
      <c r="B26" s="778"/>
      <c r="C26" s="181"/>
      <c r="D26" s="909"/>
      <c r="E26" s="909"/>
      <c r="F26" s="779"/>
      <c r="G26" s="780"/>
      <c r="H26" s="910"/>
      <c r="I26" s="910"/>
      <c r="J26" s="780"/>
    </row>
    <row r="27" spans="1:10" x14ac:dyDescent="0.25">
      <c r="A27" s="19" t="s">
        <v>353</v>
      </c>
      <c r="B27" s="778"/>
      <c r="C27" s="181">
        <f>C7</f>
        <v>1.8</v>
      </c>
      <c r="D27" s="906">
        <f>D7</f>
        <v>1.7</v>
      </c>
      <c r="E27" s="906"/>
      <c r="F27" s="779">
        <f>F7</f>
        <v>1.7</v>
      </c>
      <c r="G27" s="780">
        <f>G7</f>
        <v>1.9</v>
      </c>
      <c r="H27" s="907">
        <f>H7</f>
        <v>1.8</v>
      </c>
      <c r="I27" s="907"/>
      <c r="J27" s="780">
        <f>J7</f>
        <v>1.8</v>
      </c>
    </row>
    <row r="28" spans="1:10" x14ac:dyDescent="0.25">
      <c r="A28" s="19" t="s">
        <v>354</v>
      </c>
      <c r="B28" s="778"/>
      <c r="C28" s="781">
        <f t="shared" ref="C28:C38" si="0">C8</f>
        <v>1.6231670305548507</v>
      </c>
      <c r="D28" s="908">
        <f t="shared" ref="D28:D38" si="1">D8</f>
        <v>1.697395891285236</v>
      </c>
      <c r="E28" s="908"/>
      <c r="F28" s="782">
        <f t="shared" ref="F28:F38" si="2">F8</f>
        <v>1.7168189722493121</v>
      </c>
      <c r="G28" s="780">
        <f t="shared" ref="G28:G38" si="3">G8</f>
        <v>1.7</v>
      </c>
      <c r="H28" s="907">
        <f t="shared" ref="H28:H38" si="4">H8</f>
        <v>1.6</v>
      </c>
      <c r="I28" s="907"/>
      <c r="J28" s="780">
        <f t="shared" ref="J28:J38" si="5">J8</f>
        <v>1.8</v>
      </c>
    </row>
    <row r="29" spans="1:10" x14ac:dyDescent="0.25">
      <c r="A29" s="19" t="s">
        <v>355</v>
      </c>
      <c r="B29" s="778"/>
      <c r="C29" s="181">
        <f t="shared" si="0"/>
        <v>1.8</v>
      </c>
      <c r="D29" s="906">
        <f t="shared" si="1"/>
        <v>1.7</v>
      </c>
      <c r="E29" s="906"/>
      <c r="F29" s="779">
        <f t="shared" si="2"/>
        <v>1.6</v>
      </c>
      <c r="G29" s="780">
        <f t="shared" si="3"/>
        <v>1.9</v>
      </c>
      <c r="H29" s="907">
        <f t="shared" si="4"/>
        <v>1.6</v>
      </c>
      <c r="I29" s="907"/>
      <c r="J29" s="780">
        <f t="shared" si="5"/>
        <v>1.8</v>
      </c>
    </row>
    <row r="30" spans="1:10" x14ac:dyDescent="0.25">
      <c r="A30" s="19" t="s">
        <v>356</v>
      </c>
      <c r="B30" s="778"/>
      <c r="C30" s="181">
        <f t="shared" si="0"/>
        <v>2.4</v>
      </c>
      <c r="D30" s="906">
        <f t="shared" si="1"/>
        <v>2.5</v>
      </c>
      <c r="E30" s="906"/>
      <c r="F30" s="779">
        <f t="shared" si="2"/>
        <v>2.6</v>
      </c>
      <c r="G30" s="780">
        <f t="shared" si="3"/>
        <v>2.4</v>
      </c>
      <c r="H30" s="907">
        <f t="shared" si="4"/>
        <v>2.6</v>
      </c>
      <c r="I30" s="907"/>
      <c r="J30" s="780">
        <f t="shared" si="5"/>
        <v>2.7</v>
      </c>
    </row>
    <row r="31" spans="1:10" x14ac:dyDescent="0.25">
      <c r="A31" s="19" t="s">
        <v>357</v>
      </c>
      <c r="B31" s="778"/>
      <c r="C31" s="181">
        <f t="shared" si="0"/>
        <v>2.4</v>
      </c>
      <c r="D31" s="906">
        <f t="shared" si="1"/>
        <v>2.6</v>
      </c>
      <c r="E31" s="906"/>
      <c r="F31" s="779">
        <f t="shared" si="2"/>
        <v>2.8</v>
      </c>
      <c r="G31" s="780">
        <f t="shared" si="3"/>
        <v>2.8</v>
      </c>
      <c r="H31" s="907">
        <f t="shared" si="4"/>
        <v>3.2</v>
      </c>
      <c r="I31" s="907"/>
      <c r="J31" s="780">
        <f t="shared" si="5"/>
        <v>3.1</v>
      </c>
    </row>
    <row r="32" spans="1:10" x14ac:dyDescent="0.25">
      <c r="A32" s="19" t="s">
        <v>358</v>
      </c>
      <c r="B32" s="778"/>
      <c r="C32" s="181">
        <f t="shared" si="0"/>
        <v>1.6</v>
      </c>
      <c r="D32" s="906">
        <f t="shared" si="1"/>
        <v>2.4</v>
      </c>
      <c r="E32" s="906"/>
      <c r="F32" s="779">
        <f t="shared" si="2"/>
        <v>2.2999999999999998</v>
      </c>
      <c r="G32" s="780">
        <f t="shared" si="3"/>
        <v>1.9</v>
      </c>
      <c r="H32" s="907">
        <f t="shared" si="4"/>
        <v>3.5</v>
      </c>
      <c r="I32" s="907"/>
      <c r="J32" s="780">
        <f t="shared" si="5"/>
        <v>3.2</v>
      </c>
    </row>
    <row r="33" spans="1:10" x14ac:dyDescent="0.25">
      <c r="A33" s="783" t="s">
        <v>359</v>
      </c>
      <c r="B33" s="784"/>
      <c r="C33" s="785">
        <f t="shared" si="0"/>
        <v>0</v>
      </c>
      <c r="D33" s="905">
        <f t="shared" si="1"/>
        <v>0</v>
      </c>
      <c r="E33" s="905"/>
      <c r="F33" s="786">
        <f t="shared" si="2"/>
        <v>0</v>
      </c>
      <c r="G33" s="787">
        <f t="shared" si="3"/>
        <v>0</v>
      </c>
      <c r="H33" s="903">
        <f t="shared" si="4"/>
        <v>0</v>
      </c>
      <c r="I33" s="903"/>
      <c r="J33" s="787">
        <f t="shared" si="5"/>
        <v>0</v>
      </c>
    </row>
    <row r="34" spans="1:10" x14ac:dyDescent="0.25">
      <c r="A34" s="742" t="s">
        <v>360</v>
      </c>
      <c r="B34" s="784"/>
      <c r="C34" s="788">
        <f t="shared" si="0"/>
        <v>0.143409577137838</v>
      </c>
      <c r="D34" s="900">
        <f t="shared" si="1"/>
        <v>0.41238702637221863</v>
      </c>
      <c r="E34" s="900"/>
      <c r="F34" s="789">
        <f t="shared" si="2"/>
        <v>0.54461045946159747</v>
      </c>
      <c r="G34" s="790" t="str">
        <f t="shared" si="3"/>
        <v>-</v>
      </c>
      <c r="H34" s="903" t="str">
        <f t="shared" si="4"/>
        <v>-</v>
      </c>
      <c r="I34" s="903"/>
      <c r="J34" s="787" t="str">
        <f t="shared" si="5"/>
        <v>-</v>
      </c>
    </row>
    <row r="35" spans="1:10" x14ac:dyDescent="0.25">
      <c r="A35" s="783" t="s">
        <v>361</v>
      </c>
      <c r="B35" s="791"/>
      <c r="C35" s="788">
        <f t="shared" si="0"/>
        <v>0</v>
      </c>
      <c r="D35" s="900">
        <f t="shared" si="1"/>
        <v>0</v>
      </c>
      <c r="E35" s="900"/>
      <c r="F35" s="789">
        <f t="shared" si="2"/>
        <v>0.03</v>
      </c>
      <c r="G35" s="790" t="str">
        <f t="shared" si="3"/>
        <v>-</v>
      </c>
      <c r="H35" s="903" t="str">
        <f t="shared" si="4"/>
        <v>-</v>
      </c>
      <c r="I35" s="903"/>
      <c r="J35" s="787" t="str">
        <f t="shared" si="5"/>
        <v>-</v>
      </c>
    </row>
    <row r="36" spans="1:10" x14ac:dyDescent="0.25">
      <c r="A36" s="742" t="s">
        <v>362</v>
      </c>
      <c r="B36" s="784"/>
      <c r="C36" s="788">
        <f t="shared" si="0"/>
        <v>1.1068440782044042</v>
      </c>
      <c r="D36" s="900">
        <f t="shared" si="1"/>
        <v>1.0628170454545456</v>
      </c>
      <c r="E36" s="900"/>
      <c r="F36" s="789">
        <f t="shared" si="2"/>
        <v>1.1016666666666668</v>
      </c>
      <c r="G36" s="792">
        <f t="shared" si="3"/>
        <v>1.1069</v>
      </c>
      <c r="H36" s="901">
        <f t="shared" si="4"/>
        <v>1.0677000000000001</v>
      </c>
      <c r="I36" s="901"/>
      <c r="J36" s="793">
        <f t="shared" si="5"/>
        <v>1.0683</v>
      </c>
    </row>
    <row r="37" spans="1:10" x14ac:dyDescent="0.25">
      <c r="A37" s="742" t="s">
        <v>363</v>
      </c>
      <c r="B37" s="784"/>
      <c r="C37" s="794">
        <f t="shared" si="0"/>
        <v>45.028708380387734</v>
      </c>
      <c r="D37" s="902">
        <f t="shared" si="1"/>
        <v>55.36249999999999</v>
      </c>
      <c r="E37" s="902"/>
      <c r="F37" s="795">
        <f t="shared" si="2"/>
        <v>55.910833333333336</v>
      </c>
      <c r="G37" s="790">
        <f t="shared" si="3"/>
        <v>44.8</v>
      </c>
      <c r="H37" s="903">
        <f t="shared" si="4"/>
        <v>56.4</v>
      </c>
      <c r="I37" s="903"/>
      <c r="J37" s="787">
        <f t="shared" si="5"/>
        <v>56.9</v>
      </c>
    </row>
    <row r="38" spans="1:10" ht="14.25" thickBot="1" x14ac:dyDescent="0.3">
      <c r="A38" s="724" t="s">
        <v>364</v>
      </c>
      <c r="B38" s="629"/>
      <c r="C38" s="794">
        <f t="shared" si="0"/>
        <v>40.719085197040179</v>
      </c>
      <c r="D38" s="917">
        <f t="shared" si="1"/>
        <v>52.089397062119417</v>
      </c>
      <c r="E38" s="917"/>
      <c r="F38" s="795">
        <f t="shared" si="2"/>
        <v>50.757590393354803</v>
      </c>
      <c r="G38" s="796">
        <f t="shared" si="3"/>
        <v>40.4</v>
      </c>
      <c r="H38" s="904">
        <f t="shared" si="4"/>
        <v>52.8</v>
      </c>
      <c r="I38" s="904"/>
      <c r="J38" s="797">
        <f t="shared" si="5"/>
        <v>53.2</v>
      </c>
    </row>
    <row r="39" spans="1:10" s="115" customFormat="1" ht="54.75" thickBot="1" x14ac:dyDescent="0.3">
      <c r="A39" s="791" t="s">
        <v>20</v>
      </c>
      <c r="B39" s="798"/>
      <c r="C39" s="898">
        <v>3.3</v>
      </c>
      <c r="D39" s="898"/>
      <c r="E39" s="799">
        <v>3.3</v>
      </c>
      <c r="F39" s="800">
        <v>4</v>
      </c>
      <c r="G39" s="801">
        <v>3.3</v>
      </c>
      <c r="H39" s="801">
        <v>2.9</v>
      </c>
      <c r="I39" s="898">
        <v>3.6</v>
      </c>
      <c r="J39" s="898"/>
    </row>
    <row r="40" spans="1:10" x14ac:dyDescent="0.25">
      <c r="A40" s="802"/>
      <c r="B40" s="899" t="s">
        <v>610</v>
      </c>
      <c r="C40" s="899"/>
      <c r="D40" s="899"/>
      <c r="E40" s="899"/>
      <c r="F40" s="899"/>
      <c r="G40" s="899"/>
      <c r="H40" s="899"/>
      <c r="I40" s="899"/>
      <c r="J40" s="899"/>
    </row>
  </sheetData>
  <mergeCells count="68">
    <mergeCell ref="D38:E38"/>
    <mergeCell ref="H38:I38"/>
    <mergeCell ref="C39:D39"/>
    <mergeCell ref="I39:J39"/>
    <mergeCell ref="B40:J40"/>
    <mergeCell ref="D35:E35"/>
    <mergeCell ref="H35:I35"/>
    <mergeCell ref="D36:E36"/>
    <mergeCell ref="H36:I36"/>
    <mergeCell ref="D37:E37"/>
    <mergeCell ref="H37:I37"/>
    <mergeCell ref="D32:E32"/>
    <mergeCell ref="H32:I32"/>
    <mergeCell ref="D33:E33"/>
    <mergeCell ref="H33:I33"/>
    <mergeCell ref="D34:E34"/>
    <mergeCell ref="H34:I34"/>
    <mergeCell ref="D29:E29"/>
    <mergeCell ref="H29:I29"/>
    <mergeCell ref="D30:E30"/>
    <mergeCell ref="H30:I30"/>
    <mergeCell ref="D31:E31"/>
    <mergeCell ref="H31:I31"/>
    <mergeCell ref="D26:E26"/>
    <mergeCell ref="H26:I26"/>
    <mergeCell ref="D27:E27"/>
    <mergeCell ref="H27:I27"/>
    <mergeCell ref="D28:E28"/>
    <mergeCell ref="H28:I28"/>
    <mergeCell ref="A23:J23"/>
    <mergeCell ref="C24:F24"/>
    <mergeCell ref="G24:J24"/>
    <mergeCell ref="D25:E25"/>
    <mergeCell ref="H25:I25"/>
    <mergeCell ref="D6:E6"/>
    <mergeCell ref="H6:I6"/>
    <mergeCell ref="A3:J3"/>
    <mergeCell ref="C4:F4"/>
    <mergeCell ref="G4:J4"/>
    <mergeCell ref="D5:E5"/>
    <mergeCell ref="H5:I5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C19:D19"/>
    <mergeCell ref="I19:J19"/>
    <mergeCell ref="B20:J20"/>
    <mergeCell ref="D16:E16"/>
    <mergeCell ref="H16:I16"/>
    <mergeCell ref="D17:E17"/>
    <mergeCell ref="H17:I17"/>
    <mergeCell ref="D18:E18"/>
    <mergeCell ref="H18:I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3:H37"/>
  <sheetViews>
    <sheetView showGridLines="0" zoomScale="85" zoomScaleNormal="85" workbookViewId="0">
      <selection activeCell="D4" sqref="D4"/>
    </sheetView>
  </sheetViews>
  <sheetFormatPr defaultRowHeight="13.5" x14ac:dyDescent="0.25"/>
  <cols>
    <col min="1" max="1" width="40" style="40" customWidth="1"/>
    <col min="2" max="2" width="9.140625" style="40"/>
    <col min="3" max="3" width="12.42578125" style="40" customWidth="1"/>
    <col min="4" max="4" width="15.5703125" style="40" customWidth="1"/>
    <col min="5" max="16384" width="9.140625" style="40"/>
  </cols>
  <sheetData>
    <row r="3" spans="1:4" ht="14.25" thickBot="1" x14ac:dyDescent="0.3">
      <c r="A3" s="896" t="s">
        <v>1044</v>
      </c>
      <c r="B3" s="896"/>
      <c r="C3" s="896"/>
      <c r="D3" s="896"/>
    </row>
    <row r="4" spans="1:4" ht="14.25" thickBot="1" x14ac:dyDescent="0.3">
      <c r="A4" s="7"/>
      <c r="B4" s="14" t="s">
        <v>123</v>
      </c>
      <c r="C4" s="410">
        <v>2017</v>
      </c>
      <c r="D4" s="411" t="s">
        <v>762</v>
      </c>
    </row>
    <row r="5" spans="1:4" x14ac:dyDescent="0.25">
      <c r="A5" s="8" t="s">
        <v>763</v>
      </c>
      <c r="B5" s="31" t="s">
        <v>764</v>
      </c>
      <c r="C5" s="179">
        <v>416</v>
      </c>
      <c r="D5" s="186">
        <f t="shared" ref="D5:D17" si="0">C5/$B$19*100</f>
        <v>0.49183999612581419</v>
      </c>
    </row>
    <row r="6" spans="1:4" x14ac:dyDescent="0.25">
      <c r="A6" s="8" t="s">
        <v>765</v>
      </c>
      <c r="B6" s="31" t="s">
        <v>766</v>
      </c>
      <c r="C6" s="179">
        <v>215</v>
      </c>
      <c r="D6" s="187">
        <f t="shared" si="0"/>
        <v>0.25419615184387029</v>
      </c>
    </row>
    <row r="7" spans="1:4" x14ac:dyDescent="0.25">
      <c r="A7" s="8" t="s">
        <v>767</v>
      </c>
      <c r="B7" s="31" t="s">
        <v>768</v>
      </c>
      <c r="C7" s="179">
        <v>132</v>
      </c>
      <c r="D7" s="187">
        <f t="shared" si="0"/>
        <v>0.15606461415530642</v>
      </c>
    </row>
    <row r="8" spans="1:4" x14ac:dyDescent="0.25">
      <c r="A8" s="8" t="s">
        <v>786</v>
      </c>
      <c r="B8" s="31" t="s">
        <v>769</v>
      </c>
      <c r="C8" s="179">
        <v>82.5</v>
      </c>
      <c r="D8" s="187">
        <f t="shared" si="0"/>
        <v>9.7540383847066522E-2</v>
      </c>
    </row>
    <row r="9" spans="1:4" x14ac:dyDescent="0.25">
      <c r="A9" s="8" t="s">
        <v>770</v>
      </c>
      <c r="B9" s="31" t="s">
        <v>766</v>
      </c>
      <c r="C9" s="179">
        <v>53</v>
      </c>
      <c r="D9" s="187">
        <f t="shared" si="0"/>
        <v>6.2662307198721526E-2</v>
      </c>
    </row>
    <row r="10" spans="1:4" x14ac:dyDescent="0.25">
      <c r="A10" s="8" t="s">
        <v>771</v>
      </c>
      <c r="B10" s="31" t="s">
        <v>766</v>
      </c>
      <c r="C10" s="179">
        <v>16</v>
      </c>
      <c r="D10" s="187">
        <f t="shared" si="0"/>
        <v>1.8916922927915931E-2</v>
      </c>
    </row>
    <row r="11" spans="1:4" x14ac:dyDescent="0.25">
      <c r="A11" s="8" t="s">
        <v>772</v>
      </c>
      <c r="B11" s="31" t="s">
        <v>773</v>
      </c>
      <c r="C11" s="179">
        <v>43</v>
      </c>
      <c r="D11" s="187">
        <f t="shared" si="0"/>
        <v>5.0839230368774066E-2</v>
      </c>
    </row>
    <row r="12" spans="1:4" x14ac:dyDescent="0.25">
      <c r="A12" s="8" t="s">
        <v>774</v>
      </c>
      <c r="B12" s="31" t="s">
        <v>773</v>
      </c>
      <c r="C12" s="179">
        <v>32</v>
      </c>
      <c r="D12" s="187">
        <f t="shared" si="0"/>
        <v>3.7833845855831862E-2</v>
      </c>
    </row>
    <row r="13" spans="1:4" x14ac:dyDescent="0.25">
      <c r="A13" s="8" t="s">
        <v>775</v>
      </c>
      <c r="B13" s="31" t="s">
        <v>776</v>
      </c>
      <c r="C13" s="179">
        <v>14.5</v>
      </c>
      <c r="D13" s="187">
        <f t="shared" si="0"/>
        <v>1.7143461403423814E-2</v>
      </c>
    </row>
    <row r="14" spans="1:4" x14ac:dyDescent="0.25">
      <c r="A14" s="8" t="s">
        <v>777</v>
      </c>
      <c r="B14" s="31" t="s">
        <v>126</v>
      </c>
      <c r="C14" s="179">
        <v>140</v>
      </c>
      <c r="D14" s="187">
        <f t="shared" si="0"/>
        <v>0.16552307561926438</v>
      </c>
    </row>
    <row r="15" spans="1:4" ht="14.25" thickBot="1" x14ac:dyDescent="0.3">
      <c r="A15" s="5" t="s">
        <v>778</v>
      </c>
      <c r="B15" s="30" t="s">
        <v>779</v>
      </c>
      <c r="C15" s="92">
        <v>19.5</v>
      </c>
      <c r="D15" s="188">
        <f t="shared" si="0"/>
        <v>2.305499981839754E-2</v>
      </c>
    </row>
    <row r="16" spans="1:4" ht="14.25" thickBot="1" x14ac:dyDescent="0.3">
      <c r="A16" s="5" t="s">
        <v>780</v>
      </c>
      <c r="B16" s="30" t="s">
        <v>781</v>
      </c>
      <c r="C16" s="92">
        <v>13</v>
      </c>
      <c r="D16" s="189">
        <f t="shared" si="0"/>
        <v>1.5369999878931694E-2</v>
      </c>
    </row>
    <row r="17" spans="1:8" ht="14.25" thickBot="1" x14ac:dyDescent="0.3">
      <c r="A17" s="5" t="s">
        <v>54</v>
      </c>
      <c r="B17" s="30"/>
      <c r="C17" s="92">
        <f>C5+C11+C12+C13+C14+C15+C16</f>
        <v>678</v>
      </c>
      <c r="D17" s="189">
        <f t="shared" si="0"/>
        <v>0.80160460907043751</v>
      </c>
    </row>
    <row r="18" spans="1:8" x14ac:dyDescent="0.25">
      <c r="A18" s="13" t="s">
        <v>294</v>
      </c>
      <c r="B18" s="13"/>
      <c r="C18" s="958" t="s">
        <v>21</v>
      </c>
      <c r="D18" s="958"/>
    </row>
    <row r="19" spans="1:8" x14ac:dyDescent="0.25">
      <c r="A19" s="40" t="s">
        <v>108</v>
      </c>
      <c r="B19" s="40">
        <v>84580.351999999999</v>
      </c>
    </row>
    <row r="21" spans="1:8" ht="14.25" thickBot="1" x14ac:dyDescent="0.3">
      <c r="A21" s="896" t="s">
        <v>1045</v>
      </c>
      <c r="B21" s="896"/>
      <c r="C21" s="896"/>
      <c r="D21" s="896"/>
    </row>
    <row r="22" spans="1:8" ht="14.25" thickBot="1" x14ac:dyDescent="0.3">
      <c r="A22" s="7"/>
      <c r="B22" s="14" t="s">
        <v>123</v>
      </c>
      <c r="C22" s="410">
        <v>2017</v>
      </c>
      <c r="D22" s="411" t="s">
        <v>782</v>
      </c>
    </row>
    <row r="23" spans="1:8" x14ac:dyDescent="0.25">
      <c r="A23" s="8" t="s">
        <v>783</v>
      </c>
      <c r="B23" s="31" t="s">
        <v>764</v>
      </c>
      <c r="C23" s="179">
        <v>416</v>
      </c>
      <c r="D23" s="186">
        <f t="shared" ref="D23:D35" si="1">C23/$B$19*100</f>
        <v>0.49183999612581419</v>
      </c>
    </row>
    <row r="24" spans="1:8" x14ac:dyDescent="0.25">
      <c r="A24" s="8" t="s">
        <v>784</v>
      </c>
      <c r="B24" s="31" t="s">
        <v>766</v>
      </c>
      <c r="C24" s="179">
        <v>215</v>
      </c>
      <c r="D24" s="187">
        <f t="shared" si="1"/>
        <v>0.25419615184387029</v>
      </c>
    </row>
    <row r="25" spans="1:8" x14ac:dyDescent="0.25">
      <c r="A25" s="8" t="s">
        <v>785</v>
      </c>
      <c r="B25" s="31" t="s">
        <v>768</v>
      </c>
      <c r="C25" s="179">
        <v>132</v>
      </c>
      <c r="D25" s="187">
        <f t="shared" si="1"/>
        <v>0.15606461415530642</v>
      </c>
    </row>
    <row r="26" spans="1:8" ht="14.25" thickBot="1" x14ac:dyDescent="0.3">
      <c r="A26" s="8" t="s">
        <v>787</v>
      </c>
      <c r="B26" s="31" t="s">
        <v>769</v>
      </c>
      <c r="C26" s="179">
        <v>82.5</v>
      </c>
      <c r="D26" s="187">
        <f t="shared" si="1"/>
        <v>9.7540383847066522E-2</v>
      </c>
    </row>
    <row r="27" spans="1:8" ht="14.25" thickBot="1" x14ac:dyDescent="0.3">
      <c r="A27" s="8" t="s">
        <v>788</v>
      </c>
      <c r="B27" s="31" t="s">
        <v>766</v>
      </c>
      <c r="C27" s="179">
        <v>53</v>
      </c>
      <c r="D27" s="187">
        <f t="shared" si="1"/>
        <v>6.2662307198721526E-2</v>
      </c>
      <c r="G27" s="410"/>
      <c r="H27" s="411"/>
    </row>
    <row r="28" spans="1:8" x14ac:dyDescent="0.25">
      <c r="A28" s="8" t="s">
        <v>789</v>
      </c>
      <c r="B28" s="31" t="s">
        <v>766</v>
      </c>
      <c r="C28" s="179">
        <v>16</v>
      </c>
      <c r="D28" s="187">
        <f t="shared" si="1"/>
        <v>1.8916922927915931E-2</v>
      </c>
    </row>
    <row r="29" spans="1:8" x14ac:dyDescent="0.25">
      <c r="A29" s="8" t="s">
        <v>790</v>
      </c>
      <c r="B29" s="31" t="s">
        <v>773</v>
      </c>
      <c r="C29" s="179">
        <v>43</v>
      </c>
      <c r="D29" s="187">
        <f t="shared" si="1"/>
        <v>5.0839230368774066E-2</v>
      </c>
    </row>
    <row r="30" spans="1:8" x14ac:dyDescent="0.25">
      <c r="A30" s="8" t="s">
        <v>791</v>
      </c>
      <c r="B30" s="31" t="s">
        <v>773</v>
      </c>
      <c r="C30" s="179">
        <v>32</v>
      </c>
      <c r="D30" s="187">
        <f t="shared" si="1"/>
        <v>3.7833845855831862E-2</v>
      </c>
    </row>
    <row r="31" spans="1:8" x14ac:dyDescent="0.25">
      <c r="A31" s="8" t="s">
        <v>792</v>
      </c>
      <c r="B31" s="31" t="s">
        <v>776</v>
      </c>
      <c r="C31" s="179">
        <v>14.5</v>
      </c>
      <c r="D31" s="187">
        <f t="shared" si="1"/>
        <v>1.7143461403423814E-2</v>
      </c>
    </row>
    <row r="32" spans="1:8" x14ac:dyDescent="0.25">
      <c r="A32" s="8" t="s">
        <v>793</v>
      </c>
      <c r="B32" s="31" t="s">
        <v>126</v>
      </c>
      <c r="C32" s="179">
        <v>140</v>
      </c>
      <c r="D32" s="187">
        <f t="shared" si="1"/>
        <v>0.16552307561926438</v>
      </c>
    </row>
    <row r="33" spans="1:4" ht="14.25" thickBot="1" x14ac:dyDescent="0.3">
      <c r="A33" s="5" t="s">
        <v>794</v>
      </c>
      <c r="B33" s="30" t="s">
        <v>779</v>
      </c>
      <c r="C33" s="92">
        <v>19.5</v>
      </c>
      <c r="D33" s="188">
        <f t="shared" si="1"/>
        <v>2.305499981839754E-2</v>
      </c>
    </row>
    <row r="34" spans="1:4" ht="14.25" thickBot="1" x14ac:dyDescent="0.3">
      <c r="A34" s="5" t="s">
        <v>795</v>
      </c>
      <c r="B34" s="30" t="s">
        <v>781</v>
      </c>
      <c r="C34" s="92">
        <v>13</v>
      </c>
      <c r="D34" s="189">
        <f t="shared" si="1"/>
        <v>1.5369999878931694E-2</v>
      </c>
    </row>
    <row r="35" spans="1:4" ht="14.25" thickBot="1" x14ac:dyDescent="0.3">
      <c r="A35" s="5" t="s">
        <v>451</v>
      </c>
      <c r="B35" s="30"/>
      <c r="C35" s="92">
        <f>C23+C29+C30+C31+C32+C33+C34</f>
        <v>678</v>
      </c>
      <c r="D35" s="189">
        <f t="shared" si="1"/>
        <v>0.80160460907043751</v>
      </c>
    </row>
    <row r="36" spans="1:4" x14ac:dyDescent="0.25">
      <c r="A36" s="13" t="s">
        <v>294</v>
      </c>
      <c r="B36" s="13"/>
      <c r="C36" s="958" t="s">
        <v>345</v>
      </c>
      <c r="D36" s="958"/>
    </row>
    <row r="37" spans="1:4" x14ac:dyDescent="0.25">
      <c r="A37" s="40" t="s">
        <v>340</v>
      </c>
      <c r="B37" s="40">
        <v>84580.351999999999</v>
      </c>
    </row>
  </sheetData>
  <mergeCells count="4">
    <mergeCell ref="A21:D21"/>
    <mergeCell ref="C18:D18"/>
    <mergeCell ref="A3:D3"/>
    <mergeCell ref="C36:D3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3:O68"/>
  <sheetViews>
    <sheetView showGridLines="0" zoomScale="85" zoomScaleNormal="85" workbookViewId="0">
      <selection activeCell="F19" sqref="F19"/>
    </sheetView>
  </sheetViews>
  <sheetFormatPr defaultRowHeight="13.5" x14ac:dyDescent="0.25"/>
  <cols>
    <col min="1" max="1" width="30.140625" style="40" bestFit="1" customWidth="1"/>
    <col min="2" max="11" width="10" style="40" customWidth="1"/>
    <col min="12" max="16384" width="9.140625" style="40"/>
  </cols>
  <sheetData>
    <row r="3" spans="1:15" x14ac:dyDescent="0.25">
      <c r="A3" s="120"/>
      <c r="L3" s="393"/>
      <c r="M3" s="393"/>
      <c r="N3" s="393"/>
      <c r="O3" s="393"/>
    </row>
    <row r="4" spans="1:15" ht="14.25" thickBot="1" x14ac:dyDescent="0.3">
      <c r="A4" s="960" t="s">
        <v>1554</v>
      </c>
      <c r="B4" s="960"/>
      <c r="C4" s="960"/>
      <c r="D4" s="960"/>
      <c r="E4" s="960"/>
      <c r="F4" s="960"/>
      <c r="G4" s="960"/>
      <c r="H4" s="960"/>
      <c r="I4" s="960"/>
      <c r="J4" s="960"/>
      <c r="K4" s="960"/>
      <c r="L4" s="413"/>
      <c r="M4" s="413"/>
      <c r="N4" s="413"/>
      <c r="O4" s="393"/>
    </row>
    <row r="5" spans="1:15" ht="15.75" customHeight="1" x14ac:dyDescent="0.25">
      <c r="A5" s="8"/>
      <c r="B5" s="233" t="s">
        <v>55</v>
      </c>
      <c r="C5" s="961" t="s">
        <v>56</v>
      </c>
      <c r="D5" s="961"/>
      <c r="E5" s="961"/>
      <c r="F5" s="961" t="s">
        <v>841</v>
      </c>
      <c r="G5" s="961"/>
      <c r="H5" s="961"/>
      <c r="I5" s="961" t="s">
        <v>842</v>
      </c>
      <c r="J5" s="961"/>
      <c r="K5" s="961"/>
      <c r="L5" s="393"/>
      <c r="M5" s="393"/>
      <c r="N5" s="393"/>
      <c r="O5" s="393"/>
    </row>
    <row r="6" spans="1:15" ht="14.25" thickBot="1" x14ac:dyDescent="0.3">
      <c r="A6" s="8"/>
      <c r="B6" s="233">
        <v>2017</v>
      </c>
      <c r="C6" s="460">
        <v>2018</v>
      </c>
      <c r="D6" s="460">
        <v>2019</v>
      </c>
      <c r="E6" s="460">
        <v>2020</v>
      </c>
      <c r="F6" s="460">
        <v>2018</v>
      </c>
      <c r="G6" s="460">
        <v>2019</v>
      </c>
      <c r="H6" s="460">
        <v>2020</v>
      </c>
      <c r="I6" s="460">
        <v>2018</v>
      </c>
      <c r="J6" s="460">
        <v>2019</v>
      </c>
      <c r="K6" s="460">
        <v>2020</v>
      </c>
      <c r="L6" s="36"/>
    </row>
    <row r="7" spans="1:15" x14ac:dyDescent="0.25">
      <c r="A7" s="234" t="s">
        <v>843</v>
      </c>
      <c r="B7" s="272">
        <v>39.686024243550094</v>
      </c>
      <c r="C7" s="272">
        <f>SUM(C8:C11)</f>
        <v>38.726236119349529</v>
      </c>
      <c r="D7" s="273">
        <f t="shared" ref="D7:K7" si="0">SUM(D8:D11)</f>
        <v>38.578438658934004</v>
      </c>
      <c r="E7" s="274">
        <f t="shared" si="0"/>
        <v>38.107707628715531</v>
      </c>
      <c r="F7" s="273">
        <f t="shared" si="0"/>
        <v>38.699904869559369</v>
      </c>
      <c r="G7" s="273">
        <f t="shared" si="0"/>
        <v>38.540461683213366</v>
      </c>
      <c r="H7" s="273">
        <f t="shared" si="0"/>
        <v>37.970655126742635</v>
      </c>
      <c r="I7" s="272">
        <f t="shared" si="0"/>
        <v>-2.6331249790151112E-2</v>
      </c>
      <c r="J7" s="273">
        <f t="shared" si="0"/>
        <v>-3.7976975720645623E-2</v>
      </c>
      <c r="K7" s="273">
        <f t="shared" si="0"/>
        <v>-0.13705250197289054</v>
      </c>
      <c r="L7" s="667"/>
    </row>
    <row r="8" spans="1:15" x14ac:dyDescent="0.25">
      <c r="A8" s="235" t="s">
        <v>844</v>
      </c>
      <c r="B8" s="236">
        <v>18.427565777924407</v>
      </c>
      <c r="C8" s="237">
        <v>18.226601828742822</v>
      </c>
      <c r="D8" s="238">
        <v>17.967005987783985</v>
      </c>
      <c r="E8" s="239">
        <v>17.801595370396559</v>
      </c>
      <c r="F8" s="240">
        <f>ESA2010_source!N9/ESA2010_source!N90*100</f>
        <v>18.262480554218754</v>
      </c>
      <c r="G8" s="240">
        <f>ESA2010_source!O9/ESA2010_source!O90*100</f>
        <v>18.006671268811147</v>
      </c>
      <c r="H8" s="240">
        <f>ESA2010_source!P9/ESA2010_source!P90*100</f>
        <v>17.83903313573316</v>
      </c>
      <c r="I8" s="237">
        <f t="shared" ref="I8:I26" si="1">F8-C8</f>
        <v>3.5878725475932072E-2</v>
      </c>
      <c r="J8" s="238">
        <f t="shared" ref="J8:J26" si="2">G8-D8</f>
        <v>3.9665281027161825E-2</v>
      </c>
      <c r="K8" s="238">
        <f t="shared" ref="K8:K26" si="3">H8-E8</f>
        <v>3.7437765336601814E-2</v>
      </c>
    </row>
    <row r="9" spans="1:15" x14ac:dyDescent="0.25">
      <c r="A9" s="235" t="s">
        <v>911</v>
      </c>
      <c r="B9" s="236">
        <v>14.4</v>
      </c>
      <c r="C9" s="237">
        <v>14.3</v>
      </c>
      <c r="D9" s="238">
        <v>14.1</v>
      </c>
      <c r="E9" s="239">
        <v>14.1</v>
      </c>
      <c r="F9" s="240">
        <v>14.3</v>
      </c>
      <c r="G9" s="240">
        <v>14.1</v>
      </c>
      <c r="H9" s="240">
        <v>14.1</v>
      </c>
      <c r="I9" s="237">
        <v>0</v>
      </c>
      <c r="J9" s="238">
        <v>0</v>
      </c>
      <c r="K9" s="238">
        <v>0</v>
      </c>
    </row>
    <row r="10" spans="1:15" x14ac:dyDescent="0.25">
      <c r="A10" s="235" t="s">
        <v>845</v>
      </c>
      <c r="B10" s="236">
        <v>4.7401930888157109</v>
      </c>
      <c r="C10" s="237">
        <v>4.5409463800069387</v>
      </c>
      <c r="D10" s="238">
        <v>4.3789487851706985</v>
      </c>
      <c r="E10" s="239">
        <v>4.2330536085350765</v>
      </c>
      <c r="F10" s="240">
        <f>ESA2010_source!N30/ESA2010_source!N90*100</f>
        <v>4.4599892558561187</v>
      </c>
      <c r="G10" s="240">
        <f>ESA2010_source!O30/ESA2010_source!O90*100</f>
        <v>4.2491812271254235</v>
      </c>
      <c r="H10" s="240">
        <f>ESA2010_source!P30/ESA2010_source!P90*100</f>
        <v>4.0499191912719956</v>
      </c>
      <c r="I10" s="237">
        <f t="shared" si="1"/>
        <v>-8.0957124150820015E-2</v>
      </c>
      <c r="J10" s="238">
        <f t="shared" si="2"/>
        <v>-0.12976755804527507</v>
      </c>
      <c r="K10" s="238">
        <f t="shared" si="3"/>
        <v>-0.18313441726308088</v>
      </c>
    </row>
    <row r="11" spans="1:15" ht="14.25" thickBot="1" x14ac:dyDescent="0.3">
      <c r="A11" s="242" t="s">
        <v>846</v>
      </c>
      <c r="B11" s="243">
        <v>2.0754193598059278</v>
      </c>
      <c r="C11" s="244">
        <v>1.6586879105997681</v>
      </c>
      <c r="D11" s="245">
        <v>2.1324838859793203</v>
      </c>
      <c r="E11" s="246">
        <v>1.9730586497838913</v>
      </c>
      <c r="F11" s="247">
        <f>ESA2010_source!N37/ESA2010_source!N90*100</f>
        <v>1.6774350594845049</v>
      </c>
      <c r="G11" s="247">
        <f>ESA2010_source!O37/ESA2010_source!O90*100</f>
        <v>2.1846091872767879</v>
      </c>
      <c r="H11" s="247">
        <f>ESA2010_source!P37/ESA2010_source!P90*100</f>
        <v>1.9817027997374799</v>
      </c>
      <c r="I11" s="244">
        <f t="shared" si="1"/>
        <v>1.8747148884736831E-2</v>
      </c>
      <c r="J11" s="245">
        <f t="shared" si="2"/>
        <v>5.2125301297467619E-2</v>
      </c>
      <c r="K11" s="245">
        <f t="shared" si="3"/>
        <v>8.6441499535885313E-3</v>
      </c>
    </row>
    <row r="12" spans="1:15" x14ac:dyDescent="0.25">
      <c r="A12" s="249" t="s">
        <v>57</v>
      </c>
      <c r="B12" s="250">
        <v>40.926023812244246</v>
      </c>
      <c r="C12" s="251">
        <v>38.725757232711402</v>
      </c>
      <c r="D12" s="252">
        <v>38.443544743964253</v>
      </c>
      <c r="E12" s="253">
        <v>37.478320001702322</v>
      </c>
      <c r="F12" s="254">
        <f>ESA2010_source!N43*100</f>
        <v>39.202456603731356</v>
      </c>
      <c r="G12" s="255">
        <f>ESA2010_source!O43*100</f>
        <v>38.578627350296223</v>
      </c>
      <c r="H12" s="256">
        <f>ESA2010_source!P43*100</f>
        <v>37.956143024434759</v>
      </c>
      <c r="I12" s="251">
        <f t="shared" si="1"/>
        <v>0.4766993710199543</v>
      </c>
      <c r="J12" s="252">
        <f t="shared" si="2"/>
        <v>0.13508260633197011</v>
      </c>
      <c r="K12" s="250">
        <f t="shared" si="3"/>
        <v>0.47782302273243715</v>
      </c>
    </row>
    <row r="13" spans="1:15" x14ac:dyDescent="0.25">
      <c r="A13" s="249" t="s">
        <v>58</v>
      </c>
      <c r="B13" s="148">
        <v>37.193787039335092</v>
      </c>
      <c r="C13" s="257">
        <v>36.019167177759627</v>
      </c>
      <c r="D13" s="148">
        <v>35.55112198664272</v>
      </c>
      <c r="E13" s="258">
        <v>34.642353021086478</v>
      </c>
      <c r="F13" s="257">
        <f>ESA2010_source!N44/ESA2010_source!N90*100</f>
        <v>36.21276426676814</v>
      </c>
      <c r="G13" s="259">
        <f>ESA2010_source!O44/ESA2010_source!O90*100</f>
        <v>35.731464606449173</v>
      </c>
      <c r="H13" s="258">
        <f>ESA2010_source!P44/ESA2010_source!P90*100</f>
        <v>34.853425802724168</v>
      </c>
      <c r="I13" s="257">
        <f t="shared" si="1"/>
        <v>0.19359708900851302</v>
      </c>
      <c r="J13" s="148">
        <f t="shared" si="2"/>
        <v>0.18034261980645283</v>
      </c>
      <c r="K13" s="259">
        <f t="shared" si="3"/>
        <v>0.21107278163768939</v>
      </c>
    </row>
    <row r="14" spans="1:15" x14ac:dyDescent="0.25">
      <c r="A14" s="260" t="s">
        <v>59</v>
      </c>
      <c r="B14" s="161">
        <v>8.9013699068076715</v>
      </c>
      <c r="C14" s="261">
        <v>8.8839654620541459</v>
      </c>
      <c r="D14" s="161">
        <v>8.8870747929889564</v>
      </c>
      <c r="E14" s="262">
        <v>8.7894286950658529</v>
      </c>
      <c r="F14" s="261">
        <f>ESA2010_source!N45/ESA2010_source!N90*100</f>
        <v>8.9972770310349066</v>
      </c>
      <c r="G14" s="263">
        <f>ESA2010_source!O45/ESA2010_source!O90*100</f>
        <v>9.0353389139042086</v>
      </c>
      <c r="H14" s="262">
        <f>ESA2010_source!P45/ESA2010_source!P90*100</f>
        <v>8.8418489151332569</v>
      </c>
      <c r="I14" s="261">
        <f t="shared" si="1"/>
        <v>0.11331156898076067</v>
      </c>
      <c r="J14" s="161">
        <f t="shared" si="2"/>
        <v>0.14826412091525221</v>
      </c>
      <c r="K14" s="263">
        <f t="shared" si="3"/>
        <v>5.2420220067403989E-2</v>
      </c>
    </row>
    <row r="15" spans="1:15" x14ac:dyDescent="0.25">
      <c r="A15" s="260" t="s">
        <v>60</v>
      </c>
      <c r="B15" s="161">
        <v>5.6619142469399986</v>
      </c>
      <c r="C15" s="261">
        <v>5.2989620686953742</v>
      </c>
      <c r="D15" s="161">
        <v>5.1353867816784176</v>
      </c>
      <c r="E15" s="262">
        <v>4.9296919457415616</v>
      </c>
      <c r="F15" s="261">
        <f>ESA2010_source!N48/ESA2010_source!N90*100</f>
        <v>5.2606383812156547</v>
      </c>
      <c r="G15" s="263">
        <f>ESA2010_source!O48/ESA2010_source!O90*100</f>
        <v>5.0747630751248805</v>
      </c>
      <c r="H15" s="262">
        <f>ESA2010_source!P48/ESA2010_source!P90*100</f>
        <v>4.9770149037370128</v>
      </c>
      <c r="I15" s="261">
        <f t="shared" si="1"/>
        <v>-3.8323687479719482E-2</v>
      </c>
      <c r="J15" s="161">
        <f t="shared" si="2"/>
        <v>-6.0623706553537104E-2</v>
      </c>
      <c r="K15" s="263">
        <f t="shared" si="3"/>
        <v>4.7322957995451276E-2</v>
      </c>
    </row>
    <row r="16" spans="1:15" x14ac:dyDescent="0.25">
      <c r="A16" s="260" t="s">
        <v>61</v>
      </c>
      <c r="B16" s="161">
        <v>0.58125674388302384</v>
      </c>
      <c r="C16" s="261">
        <v>0.47022655258475005</v>
      </c>
      <c r="D16" s="161">
        <v>0.45042767832918068</v>
      </c>
      <c r="E16" s="262">
        <v>0.42887584358810493</v>
      </c>
      <c r="F16" s="261">
        <f>ESA2010_source!N52/ESA2010_source!N90*100</f>
        <v>0.47798233931349393</v>
      </c>
      <c r="G16" s="263">
        <f>ESA2010_source!O52/ESA2010_source!O90*100</f>
        <v>0.45489958886254112</v>
      </c>
      <c r="H16" s="262">
        <f>ESA2010_source!P52/ESA2010_source!P90*100</f>
        <v>0.43044544984223493</v>
      </c>
      <c r="I16" s="261">
        <f t="shared" si="1"/>
        <v>7.7557867287438853E-3</v>
      </c>
      <c r="J16" s="161">
        <f t="shared" si="2"/>
        <v>4.4719105333604348E-3</v>
      </c>
      <c r="K16" s="263">
        <f t="shared" si="3"/>
        <v>1.569606254129996E-3</v>
      </c>
    </row>
    <row r="17" spans="1:11" x14ac:dyDescent="0.25">
      <c r="A17" s="260" t="s">
        <v>62</v>
      </c>
      <c r="B17" s="161">
        <v>1.3079160512361077</v>
      </c>
      <c r="C17" s="261">
        <v>1.2726651072735617</v>
      </c>
      <c r="D17" s="161">
        <v>1.1826798186140388</v>
      </c>
      <c r="E17" s="262">
        <v>1.0724131321685748</v>
      </c>
      <c r="F17" s="261">
        <f>ESA2010_source!N59/ESA2010_source!N90*100</f>
        <v>1.2726651072735617</v>
      </c>
      <c r="G17" s="263">
        <f>ESA2010_source!O59/ESA2010_source!O90*100</f>
        <v>1.1826798186140388</v>
      </c>
      <c r="H17" s="262">
        <f>ESA2010_source!P59/ESA2010_source!P90*100</f>
        <v>1.0724131321685748</v>
      </c>
      <c r="I17" s="261">
        <f t="shared" si="1"/>
        <v>0</v>
      </c>
      <c r="J17" s="161">
        <f t="shared" si="2"/>
        <v>0</v>
      </c>
      <c r="K17" s="263">
        <f t="shared" si="3"/>
        <v>0</v>
      </c>
    </row>
    <row r="18" spans="1:11" x14ac:dyDescent="0.25">
      <c r="A18" s="260" t="s">
        <v>63</v>
      </c>
      <c r="B18" s="161">
        <v>18.573253277546069</v>
      </c>
      <c r="C18" s="261">
        <v>18.083778581101498</v>
      </c>
      <c r="D18" s="161">
        <v>17.615111383434986</v>
      </c>
      <c r="E18" s="262">
        <v>17.220209539304623</v>
      </c>
      <c r="F18" s="261">
        <f>ESA2010_source!N61/ESA2010_source!N90*100</f>
        <v>18.147410773242605</v>
      </c>
      <c r="G18" s="263">
        <f>ESA2010_source!O61/ESA2010_source!O90*100</f>
        <v>17.662400274466791</v>
      </c>
      <c r="H18" s="262">
        <f>ESA2010_source!P61/ESA2010_source!P90*100</f>
        <v>17.265908014921138</v>
      </c>
      <c r="I18" s="261">
        <f t="shared" si="1"/>
        <v>6.3632192141106714E-2</v>
      </c>
      <c r="J18" s="161">
        <f t="shared" si="2"/>
        <v>4.7288891031804781E-2</v>
      </c>
      <c r="K18" s="263">
        <f t="shared" si="3"/>
        <v>4.5698475616514855E-2</v>
      </c>
    </row>
    <row r="19" spans="1:11" ht="16.5" customHeight="1" x14ac:dyDescent="0.25">
      <c r="A19" s="260" t="s">
        <v>847</v>
      </c>
      <c r="B19" s="161">
        <v>13.523323951170127</v>
      </c>
      <c r="C19" s="261">
        <v>13.086021421136865</v>
      </c>
      <c r="D19" s="161">
        <v>12.645229744292783</v>
      </c>
      <c r="E19" s="262">
        <v>12.246387334072624</v>
      </c>
      <c r="F19" s="261">
        <f>ESA2010_source!N62/ESA2010_source!N90*100</f>
        <v>13.14198050385558</v>
      </c>
      <c r="G19" s="263">
        <f>ESA2010_source!O62/ESA2010_source!O90*100</f>
        <v>12.694665405194819</v>
      </c>
      <c r="H19" s="262">
        <f>ESA2010_source!P62/ESA2010_source!P90*100</f>
        <v>12.294039550565341</v>
      </c>
      <c r="I19" s="261">
        <f t="shared" si="1"/>
        <v>5.5959082718715081E-2</v>
      </c>
      <c r="J19" s="161">
        <f t="shared" si="2"/>
        <v>4.9435660902036105E-2</v>
      </c>
      <c r="K19" s="263">
        <f t="shared" si="3"/>
        <v>4.7652216492716448E-2</v>
      </c>
    </row>
    <row r="20" spans="1:11" x14ac:dyDescent="0.25">
      <c r="A20" s="260" t="s">
        <v>64</v>
      </c>
      <c r="B20" s="161">
        <v>5.0499293263759419</v>
      </c>
      <c r="C20" s="261">
        <v>4.9977571599646335</v>
      </c>
      <c r="D20" s="161">
        <v>4.9698816391422032</v>
      </c>
      <c r="E20" s="262">
        <v>4.9738222052319987</v>
      </c>
      <c r="F20" s="261">
        <f>ESA2010_source!N77/ESA2010_source!N90*100</f>
        <v>5.0054302693870243</v>
      </c>
      <c r="G20" s="263">
        <f>ESA2010_source!O77/ESA2010_source!O90*100</f>
        <v>4.9677348692719701</v>
      </c>
      <c r="H20" s="262">
        <f>ESA2010_source!P77/ESA2010_source!P90*100</f>
        <v>4.9718684643557989</v>
      </c>
      <c r="I20" s="261">
        <f t="shared" si="1"/>
        <v>7.6731094223907448E-3</v>
      </c>
      <c r="J20" s="161">
        <f t="shared" si="2"/>
        <v>-2.1467698702331006E-3</v>
      </c>
      <c r="K20" s="263">
        <f t="shared" si="3"/>
        <v>-1.9537408761998165E-3</v>
      </c>
    </row>
    <row r="21" spans="1:11" ht="14.25" thickBot="1" x14ac:dyDescent="0.3">
      <c r="A21" s="264" t="s">
        <v>65</v>
      </c>
      <c r="B21" s="265">
        <v>2.1092144426166493</v>
      </c>
      <c r="C21" s="266">
        <v>1.9527474342760569</v>
      </c>
      <c r="D21" s="265">
        <v>2.2280544565569884</v>
      </c>
      <c r="E21" s="267">
        <v>2.1522887340795003</v>
      </c>
      <c r="F21" s="268">
        <f>ESA2010_source!N78/ESA2010_source!N90*100</f>
        <v>1.9999686629136773</v>
      </c>
      <c r="G21" s="269">
        <f>ESA2010_source!O78/ESA2010_source!O90*100</f>
        <v>2.2689958604365663</v>
      </c>
      <c r="H21" s="270">
        <f>ESA2010_source!P78/ESA2010_source!P90*100</f>
        <v>2.2163502557836958</v>
      </c>
      <c r="I21" s="266">
        <f t="shared" si="1"/>
        <v>4.7221228637620349E-2</v>
      </c>
      <c r="J21" s="265">
        <f t="shared" si="2"/>
        <v>4.0941403879577898E-2</v>
      </c>
      <c r="K21" s="265">
        <f t="shared" si="3"/>
        <v>6.4061521704195545E-2</v>
      </c>
    </row>
    <row r="22" spans="1:11" x14ac:dyDescent="0.25">
      <c r="A22" s="249" t="s">
        <v>66</v>
      </c>
      <c r="B22" s="161">
        <v>3.7322367729091503</v>
      </c>
      <c r="C22" s="261">
        <v>2.7065900549518203</v>
      </c>
      <c r="D22" s="161">
        <v>2.8924227573215293</v>
      </c>
      <c r="E22" s="262">
        <v>2.8359669806158427</v>
      </c>
      <c r="F22" s="161">
        <f>ESA2010_source!N81/ESA2010_source!N90*100</f>
        <v>2.9896923369632127</v>
      </c>
      <c r="G22" s="161">
        <f>ESA2010_source!O81/ESA2010_source!O90*100</f>
        <v>2.847162743847051</v>
      </c>
      <c r="H22" s="161">
        <f>ESA2010_source!P81/ESA2010_source!P90*100</f>
        <v>3.1027172217105838</v>
      </c>
      <c r="I22" s="261">
        <f t="shared" si="1"/>
        <v>0.28310228201139243</v>
      </c>
      <c r="J22" s="161">
        <f t="shared" si="2"/>
        <v>-4.5260013474478278E-2</v>
      </c>
      <c r="K22" s="263">
        <f t="shared" si="3"/>
        <v>0.2667502410947411</v>
      </c>
    </row>
    <row r="23" spans="1:11" x14ac:dyDescent="0.25">
      <c r="A23" s="260" t="s">
        <v>67</v>
      </c>
      <c r="B23" s="161">
        <v>3.3467146128689556</v>
      </c>
      <c r="C23" s="261">
        <v>2.4938880404248418</v>
      </c>
      <c r="D23" s="161">
        <v>2.6347954612246713</v>
      </c>
      <c r="E23" s="262">
        <v>2.5680902226567595</v>
      </c>
      <c r="F23" s="161">
        <f>ESA2010_source!N82/ESA2010_source!N90*100</f>
        <v>2.6826593994471244</v>
      </c>
      <c r="G23" s="161">
        <f>ESA2010_source!O82/ESA2010_source!O90*100</f>
        <v>2.5600235961668596</v>
      </c>
      <c r="H23" s="161">
        <f>ESA2010_source!P82/ESA2010_source!P90*100</f>
        <v>2.8359263601310105</v>
      </c>
      <c r="I23" s="261">
        <f t="shared" si="1"/>
        <v>0.18877135902228259</v>
      </c>
      <c r="J23" s="161">
        <f t="shared" si="2"/>
        <v>-7.4771865057811748E-2</v>
      </c>
      <c r="K23" s="263">
        <f t="shared" si="3"/>
        <v>0.26783613747425106</v>
      </c>
    </row>
    <row r="24" spans="1:11" x14ac:dyDescent="0.25">
      <c r="A24" s="260" t="s">
        <v>68</v>
      </c>
      <c r="B24" s="161">
        <v>3.2653765735096494</v>
      </c>
      <c r="C24" s="261">
        <v>2.5070887880381871</v>
      </c>
      <c r="D24" s="161">
        <v>2.6389722486596074</v>
      </c>
      <c r="E24" s="262">
        <v>2.5720324508170216</v>
      </c>
      <c r="F24" s="161">
        <f>ESA2010_source!N83/ESA2010_source!N90*100</f>
        <v>2.6958601470604697</v>
      </c>
      <c r="G24" s="161">
        <f>ESA2010_source!O83/ESA2010_source!O90*100</f>
        <v>2.5642003836017957</v>
      </c>
      <c r="H24" s="161">
        <f>ESA2010_source!P83/ESA2010_source!P90*100</f>
        <v>2.8398685882912726</v>
      </c>
      <c r="I24" s="261">
        <f t="shared" si="1"/>
        <v>0.18877135902228259</v>
      </c>
      <c r="J24" s="161">
        <f t="shared" si="2"/>
        <v>-7.4771865057811748E-2</v>
      </c>
      <c r="K24" s="263">
        <f t="shared" si="3"/>
        <v>0.26783613747425106</v>
      </c>
    </row>
    <row r="25" spans="1:11" ht="14.25" thickBot="1" x14ac:dyDescent="0.3">
      <c r="A25" s="260" t="s">
        <v>69</v>
      </c>
      <c r="B25" s="265">
        <v>0.38552216004019474</v>
      </c>
      <c r="C25" s="266">
        <v>0.2127020145269779</v>
      </c>
      <c r="D25" s="265">
        <v>0.25762729609685775</v>
      </c>
      <c r="E25" s="267">
        <v>0.267876757959083</v>
      </c>
      <c r="F25" s="265">
        <f>ESA2010_source!N86/ESA2010_source!N90*100</f>
        <v>0.30703293751608823</v>
      </c>
      <c r="G25" s="265">
        <f>ESA2010_source!O86/ESA2010_source!O90*100</f>
        <v>0.28713914768019105</v>
      </c>
      <c r="H25" s="265">
        <f>ESA2010_source!P86/ESA2010_source!P90*100</f>
        <v>0.26679086157957344</v>
      </c>
      <c r="I25" s="266">
        <f t="shared" si="1"/>
        <v>9.4330922989110333E-2</v>
      </c>
      <c r="J25" s="265">
        <f t="shared" si="2"/>
        <v>2.9511851583333304E-2</v>
      </c>
      <c r="K25" s="265">
        <f t="shared" si="3"/>
        <v>-1.0858963795095655E-3</v>
      </c>
    </row>
    <row r="26" spans="1:11" ht="14.25" thickBot="1" x14ac:dyDescent="0.3">
      <c r="A26" s="271" t="s">
        <v>70</v>
      </c>
      <c r="B26" s="280">
        <f>B7-B12</f>
        <v>-1.2399995686941523</v>
      </c>
      <c r="C26" s="281">
        <f t="shared" ref="C26:H26" si="4">C7-C12</f>
        <v>4.7888663812756249E-4</v>
      </c>
      <c r="D26" s="280">
        <f t="shared" si="4"/>
        <v>0.13489391496975145</v>
      </c>
      <c r="E26" s="282">
        <f t="shared" si="4"/>
        <v>0.62938762701320883</v>
      </c>
      <c r="F26" s="280">
        <f t="shared" si="4"/>
        <v>-0.50255173417198762</v>
      </c>
      <c r="G26" s="280">
        <f t="shared" si="4"/>
        <v>-3.8165667082857624E-2</v>
      </c>
      <c r="H26" s="282">
        <f t="shared" si="4"/>
        <v>1.4512102307875807E-2</v>
      </c>
      <c r="I26" s="281">
        <f t="shared" si="1"/>
        <v>-0.50303062081011518</v>
      </c>
      <c r="J26" s="280">
        <f t="shared" si="2"/>
        <v>-0.17305958205260907</v>
      </c>
      <c r="K26" s="280">
        <f t="shared" si="3"/>
        <v>-0.61487552470533302</v>
      </c>
    </row>
    <row r="27" spans="1:11" x14ac:dyDescent="0.25">
      <c r="K27" s="40" t="s">
        <v>21</v>
      </c>
    </row>
    <row r="28" spans="1:11" ht="14.25" thickBot="1" x14ac:dyDescent="0.3">
      <c r="A28" s="461" t="s">
        <v>1046</v>
      </c>
      <c r="B28" s="461"/>
      <c r="C28" s="461"/>
      <c r="D28" s="461"/>
      <c r="E28" s="461"/>
      <c r="F28" s="461"/>
      <c r="G28" s="461"/>
      <c r="H28" s="461"/>
      <c r="I28" s="461"/>
      <c r="J28" s="461"/>
      <c r="K28" s="461"/>
    </row>
    <row r="29" spans="1:11" x14ac:dyDescent="0.25">
      <c r="A29" s="8"/>
      <c r="B29" s="233" t="s">
        <v>55</v>
      </c>
      <c r="C29" s="460" t="s">
        <v>56</v>
      </c>
      <c r="D29" s="460"/>
      <c r="E29" s="460"/>
      <c r="F29" s="460" t="s">
        <v>841</v>
      </c>
      <c r="G29" s="460"/>
      <c r="H29" s="460"/>
      <c r="I29" s="460" t="s">
        <v>842</v>
      </c>
      <c r="J29" s="460"/>
      <c r="K29" s="460"/>
    </row>
    <row r="30" spans="1:11" ht="14.25" thickBot="1" x14ac:dyDescent="0.3">
      <c r="A30" s="8"/>
      <c r="B30" s="233">
        <v>2017</v>
      </c>
      <c r="C30" s="460">
        <v>2018</v>
      </c>
      <c r="D30" s="460">
        <v>2019</v>
      </c>
      <c r="E30" s="460">
        <v>2020</v>
      </c>
      <c r="F30" s="460">
        <v>2018</v>
      </c>
      <c r="G30" s="460">
        <v>2019</v>
      </c>
      <c r="H30" s="460">
        <v>2020</v>
      </c>
      <c r="I30" s="460">
        <v>2018</v>
      </c>
      <c r="J30" s="460">
        <v>2019</v>
      </c>
      <c r="K30" s="460">
        <v>2020</v>
      </c>
    </row>
    <row r="31" spans="1:11" x14ac:dyDescent="0.25">
      <c r="A31" s="234" t="s">
        <v>849</v>
      </c>
      <c r="B31" s="272">
        <v>39.686024243550094</v>
      </c>
      <c r="C31" s="272">
        <v>38.728787853521496</v>
      </c>
      <c r="D31" s="273">
        <v>38.616604326016855</v>
      </c>
      <c r="E31" s="274">
        <v>38.093195526407655</v>
      </c>
      <c r="F31" s="273">
        <f t="shared" ref="F31:H32" si="5">F7</f>
        <v>38.699904869559369</v>
      </c>
      <c r="G31" s="273">
        <f t="shared" si="5"/>
        <v>38.540461683213366</v>
      </c>
      <c r="H31" s="274">
        <f t="shared" si="5"/>
        <v>37.970655126742635</v>
      </c>
      <c r="I31" s="318">
        <f>F31-C31</f>
        <v>-2.8882983962127184E-2</v>
      </c>
      <c r="J31" s="319">
        <f t="shared" ref="J31:J49" si="6">G31-D31</f>
        <v>-7.614264280348948E-2</v>
      </c>
      <c r="K31" s="319">
        <f t="shared" ref="K31:K49" si="7">H31-E31</f>
        <v>-0.12254039966502006</v>
      </c>
    </row>
    <row r="32" spans="1:11" x14ac:dyDescent="0.25">
      <c r="A32" s="235" t="s">
        <v>848</v>
      </c>
      <c r="B32" s="236">
        <v>18.427565777924407</v>
      </c>
      <c r="C32" s="237">
        <v>18.226601828742822</v>
      </c>
      <c r="D32" s="238">
        <v>17.967005987783985</v>
      </c>
      <c r="E32" s="239">
        <v>17.801595370396559</v>
      </c>
      <c r="F32" s="240">
        <f t="shared" si="5"/>
        <v>18.262480554218754</v>
      </c>
      <c r="G32" s="240">
        <f t="shared" si="5"/>
        <v>18.006671268811147</v>
      </c>
      <c r="H32" s="241">
        <f t="shared" si="5"/>
        <v>17.83903313573316</v>
      </c>
      <c r="I32" s="237">
        <f t="shared" ref="I32:I49" si="8">F32-C32</f>
        <v>3.5878725475932072E-2</v>
      </c>
      <c r="J32" s="238">
        <f t="shared" si="6"/>
        <v>3.9665281027161825E-2</v>
      </c>
      <c r="K32" s="238">
        <f t="shared" si="7"/>
        <v>3.7437765336601814E-2</v>
      </c>
    </row>
    <row r="33" spans="1:11" ht="16.5" customHeight="1" x14ac:dyDescent="0.25">
      <c r="A33" s="235" t="s">
        <v>850</v>
      </c>
      <c r="B33" s="236">
        <v>4.7401930888157109</v>
      </c>
      <c r="C33" s="237">
        <v>4.5409463800069387</v>
      </c>
      <c r="D33" s="238">
        <v>4.3789487851706985</v>
      </c>
      <c r="E33" s="239">
        <v>4.2330536085350765</v>
      </c>
      <c r="F33" s="240">
        <f t="shared" ref="F33:H49" si="9">F10</f>
        <v>4.4599892558561187</v>
      </c>
      <c r="G33" s="240">
        <f t="shared" si="9"/>
        <v>4.2491812271254235</v>
      </c>
      <c r="H33" s="241">
        <f t="shared" si="9"/>
        <v>4.0499191912719956</v>
      </c>
      <c r="I33" s="237">
        <f t="shared" si="8"/>
        <v>-8.0957124150820015E-2</v>
      </c>
      <c r="J33" s="238">
        <f t="shared" si="6"/>
        <v>-0.12976755804527507</v>
      </c>
      <c r="K33" s="238">
        <f t="shared" si="7"/>
        <v>-0.18313441726308088</v>
      </c>
    </row>
    <row r="34" spans="1:11" ht="14.25" thickBot="1" x14ac:dyDescent="0.3">
      <c r="A34" s="242" t="s">
        <v>851</v>
      </c>
      <c r="B34" s="243">
        <v>2.0754193598059278</v>
      </c>
      <c r="C34" s="244">
        <v>1.6586879105997681</v>
      </c>
      <c r="D34" s="245">
        <v>2.1324838859793203</v>
      </c>
      <c r="E34" s="246">
        <v>1.9730586497838913</v>
      </c>
      <c r="F34" s="247">
        <f t="shared" si="9"/>
        <v>1.6774350594845049</v>
      </c>
      <c r="G34" s="247">
        <f t="shared" si="9"/>
        <v>2.1846091872767879</v>
      </c>
      <c r="H34" s="248">
        <f t="shared" si="9"/>
        <v>1.9817027997374799</v>
      </c>
      <c r="I34" s="244">
        <f t="shared" si="8"/>
        <v>1.8747148884736831E-2</v>
      </c>
      <c r="J34" s="245">
        <f t="shared" si="6"/>
        <v>5.2125301297467619E-2</v>
      </c>
      <c r="K34" s="245">
        <f t="shared" si="7"/>
        <v>8.6441499535885313E-3</v>
      </c>
    </row>
    <row r="35" spans="1:11" x14ac:dyDescent="0.25">
      <c r="A35" s="275" t="s">
        <v>573</v>
      </c>
      <c r="B35" s="250">
        <v>40.926023812244246</v>
      </c>
      <c r="C35" s="251">
        <v>38.725757232711445</v>
      </c>
      <c r="D35" s="252">
        <v>38.443544743964253</v>
      </c>
      <c r="E35" s="253">
        <v>37.478320001702322</v>
      </c>
      <c r="F35" s="252">
        <f t="shared" si="9"/>
        <v>39.202456603731356</v>
      </c>
      <c r="G35" s="252">
        <f t="shared" si="9"/>
        <v>38.578627350296223</v>
      </c>
      <c r="H35" s="253">
        <f t="shared" si="9"/>
        <v>37.956143024434759</v>
      </c>
      <c r="I35" s="320">
        <f t="shared" si="8"/>
        <v>0.47669937101991167</v>
      </c>
      <c r="J35" s="321">
        <f t="shared" si="6"/>
        <v>0.13508260633197011</v>
      </c>
      <c r="K35" s="668">
        <f t="shared" si="7"/>
        <v>0.47782302273243715</v>
      </c>
    </row>
    <row r="36" spans="1:11" x14ac:dyDescent="0.25">
      <c r="A36" s="276" t="s">
        <v>459</v>
      </c>
      <c r="B36" s="148">
        <v>37.193787039335092</v>
      </c>
      <c r="C36" s="257">
        <v>36.019167177759627</v>
      </c>
      <c r="D36" s="148">
        <v>35.55112198664272</v>
      </c>
      <c r="E36" s="258">
        <v>34.642353021086478</v>
      </c>
      <c r="F36" s="148">
        <f t="shared" si="9"/>
        <v>36.21276426676814</v>
      </c>
      <c r="G36" s="148">
        <f t="shared" si="9"/>
        <v>35.731464606449173</v>
      </c>
      <c r="H36" s="258">
        <f t="shared" si="9"/>
        <v>34.853425802724168</v>
      </c>
      <c r="I36" s="237">
        <f t="shared" si="8"/>
        <v>0.19359708900851302</v>
      </c>
      <c r="J36" s="322">
        <f t="shared" si="6"/>
        <v>0.18034261980645283</v>
      </c>
      <c r="K36" s="238">
        <f t="shared" si="7"/>
        <v>0.21107278163768939</v>
      </c>
    </row>
    <row r="37" spans="1:11" x14ac:dyDescent="0.25">
      <c r="A37" s="277" t="s">
        <v>460</v>
      </c>
      <c r="B37" s="161">
        <v>8.9013699068076715</v>
      </c>
      <c r="C37" s="261">
        <v>8.8839654620541459</v>
      </c>
      <c r="D37" s="161">
        <v>8.8870747929889564</v>
      </c>
      <c r="E37" s="262">
        <v>8.7894286950658529</v>
      </c>
      <c r="F37" s="161">
        <f t="shared" si="9"/>
        <v>8.9972770310349066</v>
      </c>
      <c r="G37" s="161">
        <f t="shared" si="9"/>
        <v>9.0353389139042086</v>
      </c>
      <c r="H37" s="262">
        <f t="shared" si="9"/>
        <v>8.8418489151332569</v>
      </c>
      <c r="I37" s="237">
        <f t="shared" si="8"/>
        <v>0.11331156898076067</v>
      </c>
      <c r="J37" s="322">
        <f t="shared" si="6"/>
        <v>0.14826412091525221</v>
      </c>
      <c r="K37" s="238">
        <f t="shared" si="7"/>
        <v>5.2420220067403989E-2</v>
      </c>
    </row>
    <row r="38" spans="1:11" x14ac:dyDescent="0.25">
      <c r="A38" s="277" t="s">
        <v>461</v>
      </c>
      <c r="B38" s="161">
        <v>5.6619142469399986</v>
      </c>
      <c r="C38" s="261">
        <v>5.2989620686953742</v>
      </c>
      <c r="D38" s="161">
        <v>5.1353867816784176</v>
      </c>
      <c r="E38" s="262">
        <v>4.9296919457415616</v>
      </c>
      <c r="F38" s="161">
        <f t="shared" si="9"/>
        <v>5.2606383812156547</v>
      </c>
      <c r="G38" s="161">
        <f t="shared" si="9"/>
        <v>5.0747630751248805</v>
      </c>
      <c r="H38" s="262">
        <f t="shared" si="9"/>
        <v>4.9770149037370128</v>
      </c>
      <c r="I38" s="237">
        <f t="shared" si="8"/>
        <v>-3.8323687479719482E-2</v>
      </c>
      <c r="J38" s="322">
        <f t="shared" si="6"/>
        <v>-6.0623706553537104E-2</v>
      </c>
      <c r="K38" s="238">
        <f t="shared" si="7"/>
        <v>4.7322957995451276E-2</v>
      </c>
    </row>
    <row r="39" spans="1:11" ht="15.75" customHeight="1" x14ac:dyDescent="0.25">
      <c r="A39" s="277" t="s">
        <v>462</v>
      </c>
      <c r="B39" s="161">
        <v>0.58125674388302384</v>
      </c>
      <c r="C39" s="261">
        <v>0.47022655258475005</v>
      </c>
      <c r="D39" s="161">
        <v>0.45042767832918068</v>
      </c>
      <c r="E39" s="262">
        <v>0.42887584358810493</v>
      </c>
      <c r="F39" s="161">
        <f t="shared" si="9"/>
        <v>0.47798233931349393</v>
      </c>
      <c r="G39" s="161">
        <f t="shared" si="9"/>
        <v>0.45489958886254112</v>
      </c>
      <c r="H39" s="262">
        <f t="shared" si="9"/>
        <v>0.43044544984223493</v>
      </c>
      <c r="I39" s="237">
        <f t="shared" si="8"/>
        <v>7.7557867287438853E-3</v>
      </c>
      <c r="J39" s="322">
        <f t="shared" si="6"/>
        <v>4.4719105333604348E-3</v>
      </c>
      <c r="K39" s="238">
        <f t="shared" si="7"/>
        <v>1.569606254129996E-3</v>
      </c>
    </row>
    <row r="40" spans="1:11" ht="15.75" customHeight="1" x14ac:dyDescent="0.25">
      <c r="A40" s="277" t="s">
        <v>463</v>
      </c>
      <c r="B40" s="161">
        <v>1.3079160512361077</v>
      </c>
      <c r="C40" s="261">
        <v>1.2726651072735617</v>
      </c>
      <c r="D40" s="161">
        <v>1.1826798186140388</v>
      </c>
      <c r="E40" s="262">
        <v>1.0724131321685748</v>
      </c>
      <c r="F40" s="161">
        <f t="shared" si="9"/>
        <v>1.2726651072735617</v>
      </c>
      <c r="G40" s="161">
        <f t="shared" si="9"/>
        <v>1.1826798186140388</v>
      </c>
      <c r="H40" s="262">
        <f t="shared" si="9"/>
        <v>1.0724131321685748</v>
      </c>
      <c r="I40" s="237">
        <f t="shared" si="8"/>
        <v>0</v>
      </c>
      <c r="J40" s="322">
        <f t="shared" si="6"/>
        <v>0</v>
      </c>
      <c r="K40" s="238">
        <f t="shared" si="7"/>
        <v>0</v>
      </c>
    </row>
    <row r="41" spans="1:11" x14ac:dyDescent="0.25">
      <c r="A41" s="277" t="s">
        <v>464</v>
      </c>
      <c r="B41" s="161">
        <v>18.573253277546069</v>
      </c>
      <c r="C41" s="261">
        <v>18.083778581101498</v>
      </c>
      <c r="D41" s="161">
        <v>17.615111383434986</v>
      </c>
      <c r="E41" s="262">
        <v>17.220209539304623</v>
      </c>
      <c r="F41" s="161">
        <f t="shared" si="9"/>
        <v>18.147410773242605</v>
      </c>
      <c r="G41" s="161">
        <f t="shared" si="9"/>
        <v>17.662400274466791</v>
      </c>
      <c r="H41" s="262">
        <f t="shared" si="9"/>
        <v>17.265908014921138</v>
      </c>
      <c r="I41" s="237">
        <f t="shared" si="8"/>
        <v>6.3632192141106714E-2</v>
      </c>
      <c r="J41" s="322">
        <f t="shared" si="6"/>
        <v>4.7288891031804781E-2</v>
      </c>
      <c r="K41" s="238">
        <f t="shared" si="7"/>
        <v>4.5698475616514855E-2</v>
      </c>
    </row>
    <row r="42" spans="1:11" x14ac:dyDescent="0.25">
      <c r="A42" s="277" t="s">
        <v>465</v>
      </c>
      <c r="B42" s="161">
        <v>13.523323951170127</v>
      </c>
      <c r="C42" s="261">
        <v>13.086021421136865</v>
      </c>
      <c r="D42" s="161">
        <v>12.645229744292783</v>
      </c>
      <c r="E42" s="262">
        <v>12.246387334072624</v>
      </c>
      <c r="F42" s="161">
        <f t="shared" si="9"/>
        <v>13.14198050385558</v>
      </c>
      <c r="G42" s="161">
        <f t="shared" si="9"/>
        <v>12.694665405194819</v>
      </c>
      <c r="H42" s="262">
        <f t="shared" si="9"/>
        <v>12.294039550565341</v>
      </c>
      <c r="I42" s="237">
        <f t="shared" si="8"/>
        <v>5.5959082718715081E-2</v>
      </c>
      <c r="J42" s="322">
        <f t="shared" si="6"/>
        <v>4.9435660902036105E-2</v>
      </c>
      <c r="K42" s="238">
        <f t="shared" si="7"/>
        <v>4.7652216492716448E-2</v>
      </c>
    </row>
    <row r="43" spans="1:11" x14ac:dyDescent="0.25">
      <c r="A43" s="277" t="s">
        <v>466</v>
      </c>
      <c r="B43" s="262">
        <v>5.0499293263759419</v>
      </c>
      <c r="C43" s="261">
        <v>4.9977571599646335</v>
      </c>
      <c r="D43" s="161">
        <v>4.9698816391422032</v>
      </c>
      <c r="E43" s="262">
        <v>4.9738222052319987</v>
      </c>
      <c r="F43" s="161">
        <f t="shared" si="9"/>
        <v>5.0054302693870243</v>
      </c>
      <c r="G43" s="161">
        <f t="shared" si="9"/>
        <v>4.9677348692719701</v>
      </c>
      <c r="H43" s="262">
        <f t="shared" si="9"/>
        <v>4.9718684643557989</v>
      </c>
      <c r="I43" s="237">
        <f t="shared" si="8"/>
        <v>7.6731094223907448E-3</v>
      </c>
      <c r="J43" s="322">
        <f t="shared" si="6"/>
        <v>-2.1467698702331006E-3</v>
      </c>
      <c r="K43" s="238">
        <f t="shared" si="7"/>
        <v>-1.9537408761998165E-3</v>
      </c>
    </row>
    <row r="44" spans="1:11" ht="14.25" thickBot="1" x14ac:dyDescent="0.3">
      <c r="A44" s="278" t="s">
        <v>467</v>
      </c>
      <c r="B44" s="267">
        <v>2.1092144426166493</v>
      </c>
      <c r="C44" s="266">
        <v>1.9527474342760569</v>
      </c>
      <c r="D44" s="265">
        <v>2.2280544565569884</v>
      </c>
      <c r="E44" s="267">
        <v>2.1522887340795003</v>
      </c>
      <c r="F44" s="265">
        <f t="shared" si="9"/>
        <v>1.9999686629136773</v>
      </c>
      <c r="G44" s="265">
        <f t="shared" si="9"/>
        <v>2.2689958604365663</v>
      </c>
      <c r="H44" s="267">
        <f t="shared" si="9"/>
        <v>2.2163502557836958</v>
      </c>
      <c r="I44" s="244">
        <f t="shared" si="8"/>
        <v>4.7221228637620349E-2</v>
      </c>
      <c r="J44" s="245">
        <f t="shared" si="6"/>
        <v>4.0941403879577898E-2</v>
      </c>
      <c r="K44" s="245">
        <f t="shared" si="7"/>
        <v>6.4061521704195545E-2</v>
      </c>
    </row>
    <row r="45" spans="1:11" x14ac:dyDescent="0.25">
      <c r="A45" s="276" t="s">
        <v>468</v>
      </c>
      <c r="B45" s="161">
        <v>3.7322367729091503</v>
      </c>
      <c r="C45" s="261">
        <v>2.7065900549518203</v>
      </c>
      <c r="D45" s="161">
        <v>2.8924227573215293</v>
      </c>
      <c r="E45" s="262">
        <v>2.8359669806158427</v>
      </c>
      <c r="F45" s="161">
        <f t="shared" si="9"/>
        <v>2.9896923369632127</v>
      </c>
      <c r="G45" s="161">
        <f t="shared" si="9"/>
        <v>2.847162743847051</v>
      </c>
      <c r="H45" s="262">
        <f t="shared" si="9"/>
        <v>3.1027172217105838</v>
      </c>
      <c r="I45" s="237">
        <f t="shared" si="8"/>
        <v>0.28310228201139243</v>
      </c>
      <c r="J45" s="322">
        <f t="shared" si="6"/>
        <v>-4.5260013474478278E-2</v>
      </c>
      <c r="K45" s="238">
        <f t="shared" si="7"/>
        <v>0.2667502410947411</v>
      </c>
    </row>
    <row r="46" spans="1:11" x14ac:dyDescent="0.25">
      <c r="A46" s="277" t="s">
        <v>469</v>
      </c>
      <c r="B46" s="161">
        <v>3.3467146128689556</v>
      </c>
      <c r="C46" s="261">
        <v>2.4938880404248418</v>
      </c>
      <c r="D46" s="161">
        <v>2.6347954612246713</v>
      </c>
      <c r="E46" s="262">
        <v>2.5680902226567595</v>
      </c>
      <c r="F46" s="161">
        <f t="shared" si="9"/>
        <v>2.6826593994471244</v>
      </c>
      <c r="G46" s="161">
        <f t="shared" si="9"/>
        <v>2.5600235961668596</v>
      </c>
      <c r="H46" s="262">
        <f t="shared" si="9"/>
        <v>2.8359263601310105</v>
      </c>
      <c r="I46" s="237">
        <f t="shared" si="8"/>
        <v>0.18877135902228259</v>
      </c>
      <c r="J46" s="322">
        <f t="shared" si="6"/>
        <v>-7.4771865057811748E-2</v>
      </c>
      <c r="K46" s="238">
        <f t="shared" si="7"/>
        <v>0.26783613747425106</v>
      </c>
    </row>
    <row r="47" spans="1:11" x14ac:dyDescent="0.25">
      <c r="A47" s="277" t="s">
        <v>470</v>
      </c>
      <c r="B47" s="161">
        <v>3.2653765735096494</v>
      </c>
      <c r="C47" s="261">
        <v>2.5070887880381871</v>
      </c>
      <c r="D47" s="161">
        <v>2.6389722486596074</v>
      </c>
      <c r="E47" s="262">
        <v>2.5720324508170216</v>
      </c>
      <c r="F47" s="161">
        <f t="shared" si="9"/>
        <v>2.6958601470604697</v>
      </c>
      <c r="G47" s="161">
        <f t="shared" si="9"/>
        <v>2.5642003836017957</v>
      </c>
      <c r="H47" s="262">
        <f t="shared" si="9"/>
        <v>2.8398685882912726</v>
      </c>
      <c r="I47" s="237">
        <f t="shared" si="8"/>
        <v>0.18877135902228259</v>
      </c>
      <c r="J47" s="322">
        <f t="shared" si="6"/>
        <v>-7.4771865057811748E-2</v>
      </c>
      <c r="K47" s="238">
        <f t="shared" si="7"/>
        <v>0.26783613747425106</v>
      </c>
    </row>
    <row r="48" spans="1:11" ht="14.25" thickBot="1" x14ac:dyDescent="0.3">
      <c r="A48" s="278" t="s">
        <v>471</v>
      </c>
      <c r="B48" s="265">
        <v>0.38552216004019474</v>
      </c>
      <c r="C48" s="266">
        <v>0.2127020145269779</v>
      </c>
      <c r="D48" s="265">
        <v>0.25762729609685775</v>
      </c>
      <c r="E48" s="267">
        <v>0.267876757959083</v>
      </c>
      <c r="F48" s="265">
        <f t="shared" si="9"/>
        <v>0.30703293751608823</v>
      </c>
      <c r="G48" s="265">
        <f t="shared" si="9"/>
        <v>0.28713914768019105</v>
      </c>
      <c r="H48" s="267">
        <f t="shared" si="9"/>
        <v>0.26679086157957344</v>
      </c>
      <c r="I48" s="244">
        <f t="shared" si="8"/>
        <v>9.4330922989110333E-2</v>
      </c>
      <c r="J48" s="245">
        <f t="shared" si="6"/>
        <v>2.9511851583333304E-2</v>
      </c>
      <c r="K48" s="245">
        <f t="shared" si="7"/>
        <v>-1.0858963795095655E-3</v>
      </c>
    </row>
    <row r="49" spans="1:11" ht="14.25" thickBot="1" x14ac:dyDescent="0.3">
      <c r="A49" s="279" t="s">
        <v>472</v>
      </c>
      <c r="B49" s="280">
        <f>B31-B35</f>
        <v>-1.2399995686941523</v>
      </c>
      <c r="C49" s="281">
        <f t="shared" ref="C49:E49" si="10">C31-C35</f>
        <v>3.0306208100512322E-3</v>
      </c>
      <c r="D49" s="280">
        <f t="shared" si="10"/>
        <v>0.17305958205260197</v>
      </c>
      <c r="E49" s="282">
        <f t="shared" si="10"/>
        <v>0.61487552470533302</v>
      </c>
      <c r="F49" s="280">
        <f t="shared" si="9"/>
        <v>-0.50255173417198762</v>
      </c>
      <c r="G49" s="280">
        <f t="shared" si="9"/>
        <v>-3.8165667082857624E-2</v>
      </c>
      <c r="H49" s="282">
        <f t="shared" si="9"/>
        <v>1.4512102307875807E-2</v>
      </c>
      <c r="I49" s="281">
        <f t="shared" si="8"/>
        <v>-0.50558235498203885</v>
      </c>
      <c r="J49" s="280">
        <f t="shared" si="6"/>
        <v>-0.21122524913545959</v>
      </c>
      <c r="K49" s="280">
        <f t="shared" si="7"/>
        <v>-0.60036342239745721</v>
      </c>
    </row>
    <row r="50" spans="1:11" x14ac:dyDescent="0.25">
      <c r="K50" s="40" t="s">
        <v>345</v>
      </c>
    </row>
    <row r="58" spans="1:11" ht="15.75" customHeight="1" x14ac:dyDescent="0.25"/>
    <row r="68" ht="15.75" customHeight="1" x14ac:dyDescent="0.25"/>
  </sheetData>
  <mergeCells count="4">
    <mergeCell ref="I5:K5"/>
    <mergeCell ref="F5:H5"/>
    <mergeCell ref="C5:E5"/>
    <mergeCell ref="A4:K4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3"/>
  <dimension ref="A4:K43"/>
  <sheetViews>
    <sheetView showGridLines="0" zoomScale="85" zoomScaleNormal="85" workbookViewId="0">
      <selection activeCell="B19" sqref="B19"/>
    </sheetView>
  </sheetViews>
  <sheetFormatPr defaultRowHeight="13.5" x14ac:dyDescent="0.25"/>
  <cols>
    <col min="1" max="1" width="34.7109375" style="40" bestFit="1" customWidth="1"/>
    <col min="2" max="16384" width="9.140625" style="40"/>
  </cols>
  <sheetData>
    <row r="4" spans="1:11" ht="14.25" thickBot="1" x14ac:dyDescent="0.3">
      <c r="A4" s="643" t="s">
        <v>1047</v>
      </c>
      <c r="B4" s="52"/>
      <c r="C4" s="52"/>
      <c r="F4" s="643" t="s">
        <v>1050</v>
      </c>
      <c r="G4" s="52"/>
      <c r="H4" s="52"/>
      <c r="I4" s="52"/>
      <c r="J4" s="52"/>
      <c r="K4" s="52"/>
    </row>
    <row r="18" spans="1:11" x14ac:dyDescent="0.25">
      <c r="A18" s="659" t="s">
        <v>335</v>
      </c>
      <c r="B18" s="659">
        <v>2018</v>
      </c>
      <c r="C18" s="659">
        <v>2019</v>
      </c>
      <c r="D18" s="659">
        <v>2020</v>
      </c>
      <c r="F18" s="393"/>
      <c r="G18" s="393"/>
      <c r="H18" s="393"/>
      <c r="I18" s="519">
        <v>2018</v>
      </c>
      <c r="J18" s="519">
        <v>2019</v>
      </c>
      <c r="K18" s="519">
        <v>2020</v>
      </c>
    </row>
    <row r="19" spans="1:11" x14ac:dyDescent="0.25">
      <c r="A19" s="660" t="s">
        <v>883</v>
      </c>
      <c r="B19" s="661">
        <v>0.31242459541138601</v>
      </c>
      <c r="C19" s="661">
        <v>-0.16791686993519761</v>
      </c>
      <c r="D19" s="661">
        <v>0.1649464252480044</v>
      </c>
      <c r="F19" s="491" t="s">
        <v>835</v>
      </c>
      <c r="G19" s="491"/>
      <c r="H19" s="491"/>
      <c r="I19" s="662">
        <v>0.59876946385457219</v>
      </c>
      <c r="J19" s="662">
        <v>0.63319657685728847</v>
      </c>
      <c r="K19" s="662">
        <v>0.401348364868858</v>
      </c>
    </row>
    <row r="20" spans="1:11" x14ac:dyDescent="0.25">
      <c r="A20" s="663" t="s">
        <v>882</v>
      </c>
      <c r="B20" s="664">
        <v>-0.23449629399436844</v>
      </c>
      <c r="C20" s="664">
        <v>-1.2388716854971893E-2</v>
      </c>
      <c r="D20" s="664"/>
      <c r="F20" s="390"/>
      <c r="G20" s="390"/>
      <c r="H20" s="390"/>
      <c r="I20" s="665">
        <v>0.37382481904528503</v>
      </c>
      <c r="J20" s="665">
        <v>0.12477277217213759</v>
      </c>
      <c r="K20" s="665"/>
    </row>
    <row r="21" spans="1:11" x14ac:dyDescent="0.25">
      <c r="A21" s="962" t="s">
        <v>21</v>
      </c>
      <c r="B21" s="962"/>
      <c r="C21" s="962"/>
      <c r="D21" s="962"/>
      <c r="F21" s="962" t="s">
        <v>21</v>
      </c>
      <c r="G21" s="962"/>
      <c r="H21" s="962"/>
      <c r="I21" s="962"/>
      <c r="J21" s="962"/>
      <c r="K21" s="962"/>
    </row>
    <row r="22" spans="1:11" x14ac:dyDescent="0.25">
      <c r="A22" s="412"/>
      <c r="B22" s="666"/>
      <c r="C22" s="666"/>
      <c r="D22" s="666"/>
      <c r="I22" s="41"/>
      <c r="J22" s="41"/>
      <c r="K22" s="41"/>
    </row>
    <row r="25" spans="1:11" ht="14.25" thickBot="1" x14ac:dyDescent="0.3">
      <c r="A25" s="643" t="s">
        <v>1048</v>
      </c>
      <c r="B25" s="52"/>
      <c r="C25" s="52"/>
      <c r="F25" s="643" t="s">
        <v>1049</v>
      </c>
      <c r="G25" s="52"/>
      <c r="H25" s="52"/>
      <c r="I25" s="52"/>
      <c r="J25" s="52"/>
      <c r="K25" s="52"/>
    </row>
    <row r="40" spans="1:11" x14ac:dyDescent="0.25">
      <c r="A40" s="659" t="s">
        <v>997</v>
      </c>
      <c r="B40" s="659">
        <f>B18</f>
        <v>2018</v>
      </c>
      <c r="C40" s="659">
        <f t="shared" ref="C40:D40" si="0">C18</f>
        <v>2019</v>
      </c>
      <c r="D40" s="659">
        <f t="shared" si="0"/>
        <v>2020</v>
      </c>
      <c r="G40" s="393"/>
      <c r="H40" s="393"/>
      <c r="I40" s="659">
        <f>I18</f>
        <v>2018</v>
      </c>
      <c r="J40" s="659">
        <f t="shared" ref="J40:K40" si="1">J18</f>
        <v>2019</v>
      </c>
      <c r="K40" s="659">
        <f t="shared" si="1"/>
        <v>2020</v>
      </c>
    </row>
    <row r="41" spans="1:11" x14ac:dyDescent="0.25">
      <c r="A41" s="660" t="s">
        <v>1010</v>
      </c>
      <c r="B41" s="661">
        <v>0.31242459541138601</v>
      </c>
      <c r="C41" s="661">
        <v>-0.16791686993519761</v>
      </c>
      <c r="D41" s="661">
        <v>0.1649464252480044</v>
      </c>
      <c r="F41" s="660" t="s">
        <v>836</v>
      </c>
      <c r="G41" s="491"/>
      <c r="H41" s="491"/>
      <c r="I41" s="662">
        <v>0.59876946385457219</v>
      </c>
      <c r="J41" s="662">
        <v>0.63319657685728847</v>
      </c>
      <c r="K41" s="662">
        <v>0.401348364868858</v>
      </c>
    </row>
    <row r="42" spans="1:11" x14ac:dyDescent="0.25">
      <c r="A42" s="663" t="s">
        <v>1011</v>
      </c>
      <c r="B42" s="664">
        <v>-0.23449629399436844</v>
      </c>
      <c r="C42" s="664">
        <v>-1.2388716854971893E-2</v>
      </c>
      <c r="D42" s="390"/>
      <c r="F42" s="390"/>
      <c r="G42" s="390"/>
      <c r="H42" s="390"/>
      <c r="I42" s="665">
        <v>0.37382481904528503</v>
      </c>
      <c r="J42" s="665">
        <v>0.12477277217213759</v>
      </c>
      <c r="K42" s="390"/>
    </row>
    <row r="43" spans="1:11" x14ac:dyDescent="0.25">
      <c r="A43" s="962" t="s">
        <v>345</v>
      </c>
      <c r="B43" s="962"/>
      <c r="C43" s="962"/>
      <c r="D43" s="962"/>
      <c r="H43" s="962" t="s">
        <v>345</v>
      </c>
      <c r="I43" s="962"/>
      <c r="J43" s="962"/>
      <c r="K43" s="962"/>
    </row>
  </sheetData>
  <mergeCells count="4">
    <mergeCell ref="A43:D43"/>
    <mergeCell ref="H43:K43"/>
    <mergeCell ref="A21:D21"/>
    <mergeCell ref="F21:K2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3:N34"/>
  <sheetViews>
    <sheetView showGridLines="0" zoomScale="85" zoomScaleNormal="85" workbookViewId="0">
      <selection activeCell="J9" sqref="J9"/>
    </sheetView>
  </sheetViews>
  <sheetFormatPr defaultRowHeight="13.5" x14ac:dyDescent="0.25"/>
  <cols>
    <col min="1" max="1" width="41.85546875" style="40" bestFit="1" customWidth="1"/>
    <col min="2" max="7" width="9" style="40" customWidth="1"/>
    <col min="8" max="10" width="9.140625" style="40"/>
    <col min="11" max="11" width="83.85546875" style="40" customWidth="1"/>
    <col min="12" max="16384" width="9.140625" style="40"/>
  </cols>
  <sheetData>
    <row r="3" spans="1:14" x14ac:dyDescent="0.25">
      <c r="A3" s="963" t="s">
        <v>1607</v>
      </c>
      <c r="B3" s="963"/>
      <c r="C3" s="963"/>
      <c r="D3" s="963"/>
      <c r="E3" s="963"/>
      <c r="F3" s="963"/>
      <c r="G3" s="963"/>
    </row>
    <row r="4" spans="1:14" x14ac:dyDescent="0.25">
      <c r="A4" s="656"/>
      <c r="B4" s="657">
        <v>2015</v>
      </c>
      <c r="C4" s="657">
        <v>2016</v>
      </c>
      <c r="D4" s="657">
        <v>2017</v>
      </c>
      <c r="E4" s="657">
        <v>2018</v>
      </c>
      <c r="F4" s="657">
        <v>2019</v>
      </c>
      <c r="G4" s="657">
        <v>2020</v>
      </c>
    </row>
    <row r="5" spans="1:14" x14ac:dyDescent="0.25">
      <c r="A5" s="285" t="s">
        <v>0</v>
      </c>
      <c r="B5" s="286">
        <f>ESA2010_source!K89*100</f>
        <v>-2.7445806862164637</v>
      </c>
      <c r="C5" s="286">
        <f>ESA2010_source!L89*100</f>
        <v>-1.6817818285144437</v>
      </c>
      <c r="D5" s="286">
        <f>ESA2010_source!M89*100</f>
        <v>-1.2399995686941512</v>
      </c>
      <c r="E5" s="286">
        <f>ESA2010_source!N89*100</f>
        <v>-0.50000000000000522</v>
      </c>
      <c r="F5" s="286">
        <f>ESA2010_source!O89*100</f>
        <v>0</v>
      </c>
      <c r="G5" s="286">
        <f>ESA2010_source!P89*100</f>
        <v>0</v>
      </c>
    </row>
    <row r="6" spans="1:14" x14ac:dyDescent="0.25">
      <c r="A6" s="287" t="s">
        <v>1</v>
      </c>
      <c r="B6" s="288">
        <v>-0.4230298166292063</v>
      </c>
      <c r="C6" s="288">
        <v>-0.25023149865953087</v>
      </c>
      <c r="D6" s="288">
        <v>-0.22753990047550748</v>
      </c>
      <c r="E6" s="288">
        <v>-9.5129889269798762E-2</v>
      </c>
      <c r="F6" s="288">
        <v>0.24007295457461639</v>
      </c>
      <c r="G6" s="288">
        <v>0.36551718565750513</v>
      </c>
    </row>
    <row r="7" spans="1:14" x14ac:dyDescent="0.25">
      <c r="A7" s="287" t="s">
        <v>2</v>
      </c>
      <c r="B7" s="288">
        <v>0</v>
      </c>
      <c r="C7" s="288">
        <v>-4.3429924482821979E-2</v>
      </c>
      <c r="D7" s="288">
        <v>0</v>
      </c>
      <c r="E7" s="288">
        <v>0</v>
      </c>
      <c r="F7" s="288">
        <v>0</v>
      </c>
      <c r="G7" s="288">
        <v>0</v>
      </c>
    </row>
    <row r="8" spans="1:14" x14ac:dyDescent="0.25">
      <c r="A8" s="289" t="s">
        <v>3</v>
      </c>
      <c r="B8" s="290">
        <f>B5-B6-B7</f>
        <v>-2.3215508695872575</v>
      </c>
      <c r="C8" s="290">
        <f t="shared" ref="C8:G8" si="0">C5-C6-C7</f>
        <v>-1.3881204053720908</v>
      </c>
      <c r="D8" s="290">
        <f t="shared" si="0"/>
        <v>-1.0124596682186437</v>
      </c>
      <c r="E8" s="290">
        <f t="shared" si="0"/>
        <v>-0.40487011073020646</v>
      </c>
      <c r="F8" s="290">
        <f t="shared" si="0"/>
        <v>-0.24007295457461639</v>
      </c>
      <c r="G8" s="290">
        <f t="shared" si="0"/>
        <v>-0.36551718565750513</v>
      </c>
    </row>
    <row r="9" spans="1:14" x14ac:dyDescent="0.25">
      <c r="A9" s="291" t="s">
        <v>4</v>
      </c>
      <c r="B9" s="292">
        <v>-0.11919044031814474</v>
      </c>
      <c r="C9" s="292">
        <f>C8-B8</f>
        <v>0.93343046421516673</v>
      </c>
      <c r="D9" s="292">
        <f t="shared" ref="D9:G9" si="1">D8-C8</f>
        <v>0.37566073715344706</v>
      </c>
      <c r="E9" s="292">
        <f t="shared" si="1"/>
        <v>0.60758955748843735</v>
      </c>
      <c r="F9" s="292">
        <f t="shared" si="1"/>
        <v>0.16479715615559007</v>
      </c>
      <c r="G9" s="292">
        <f t="shared" si="1"/>
        <v>-0.12544423108288874</v>
      </c>
    </row>
    <row r="10" spans="1:14" x14ac:dyDescent="0.25">
      <c r="A10" s="293" t="s">
        <v>296</v>
      </c>
      <c r="B10" s="294">
        <v>0</v>
      </c>
      <c r="C10" s="294">
        <v>0.25</v>
      </c>
      <c r="D10" s="294">
        <v>0.5</v>
      </c>
      <c r="E10" s="294">
        <v>0.5</v>
      </c>
      <c r="F10" s="294">
        <v>0</v>
      </c>
      <c r="G10" s="294">
        <v>0</v>
      </c>
    </row>
    <row r="11" spans="1:14" ht="12" customHeight="1" x14ac:dyDescent="0.25">
      <c r="A11" s="120" t="s">
        <v>870</v>
      </c>
      <c r="B11" s="295">
        <f>IF(B8&gt;-0.5,"MTO",B9-B10)</f>
        <v>-0.11919044031814474</v>
      </c>
      <c r="C11" s="295">
        <f t="shared" ref="C11:G11" si="2">IF(C8&gt;-0.5,"MTO",C9-C10)</f>
        <v>0.68343046421516673</v>
      </c>
      <c r="D11" s="295">
        <f t="shared" si="2"/>
        <v>-0.12433926284655294</v>
      </c>
      <c r="E11" s="295" t="str">
        <f t="shared" si="2"/>
        <v>MTO</v>
      </c>
      <c r="F11" s="295" t="str">
        <f t="shared" si="2"/>
        <v>MTO</v>
      </c>
      <c r="G11" s="295" t="str">
        <f t="shared" si="2"/>
        <v>MTO</v>
      </c>
    </row>
    <row r="12" spans="1:14" ht="13.5" customHeight="1" x14ac:dyDescent="0.25">
      <c r="A12" s="297" t="s">
        <v>871</v>
      </c>
      <c r="B12" s="296">
        <v>-0.11753715968246439</v>
      </c>
      <c r="C12" s="296">
        <f>IF(C8&gt;-0.5,"MTO",AVERAGE(B11:C11))</f>
        <v>0.282120011948511</v>
      </c>
      <c r="D12" s="296">
        <f t="shared" ref="D12:G12" si="3">IF(D8&gt;-0.5,"MTO",AVERAGE(C11:D11))</f>
        <v>0.27954560068430689</v>
      </c>
      <c r="E12" s="296" t="str">
        <f t="shared" si="3"/>
        <v>MTO</v>
      </c>
      <c r="F12" s="296" t="str">
        <f t="shared" si="3"/>
        <v>MTO</v>
      </c>
      <c r="G12" s="296" t="str">
        <f t="shared" si="3"/>
        <v>MTO</v>
      </c>
    </row>
    <row r="13" spans="1:14" x14ac:dyDescent="0.25">
      <c r="F13" s="964" t="s">
        <v>21</v>
      </c>
      <c r="G13" s="964"/>
    </row>
    <row r="14" spans="1:14" ht="14.25" thickBot="1" x14ac:dyDescent="0.3">
      <c r="A14" s="658" t="s">
        <v>474</v>
      </c>
      <c r="B14" s="658"/>
      <c r="C14" s="658"/>
      <c r="D14" s="658"/>
      <c r="E14" s="658"/>
      <c r="F14" s="658"/>
      <c r="G14" s="658"/>
    </row>
    <row r="15" spans="1:14" x14ac:dyDescent="0.25">
      <c r="A15" s="656"/>
      <c r="B15" s="657">
        <v>2015</v>
      </c>
      <c r="C15" s="657">
        <v>2016</v>
      </c>
      <c r="D15" s="657">
        <v>2017</v>
      </c>
      <c r="E15" s="657">
        <v>2018</v>
      </c>
      <c r="F15" s="657">
        <v>2019</v>
      </c>
      <c r="G15" s="657">
        <v>2020</v>
      </c>
    </row>
    <row r="16" spans="1:14" x14ac:dyDescent="0.25">
      <c r="A16" s="285" t="s">
        <v>475</v>
      </c>
      <c r="B16" s="286">
        <v>-2.7445806862164637</v>
      </c>
      <c r="C16" s="286">
        <v>-1.6817818285144392</v>
      </c>
      <c r="D16" s="286">
        <v>-1.2399995686941512</v>
      </c>
      <c r="E16" s="286">
        <v>-0.50000000000000522</v>
      </c>
      <c r="F16" s="286">
        <v>0</v>
      </c>
      <c r="G16" s="286">
        <v>0</v>
      </c>
      <c r="I16" s="91"/>
      <c r="J16" s="91"/>
      <c r="K16" s="91"/>
      <c r="L16" s="65"/>
      <c r="M16" s="65"/>
      <c r="N16" s="65"/>
    </row>
    <row r="17" spans="1:14" ht="15" customHeight="1" x14ac:dyDescent="0.25">
      <c r="A17" s="287" t="s">
        <v>436</v>
      </c>
      <c r="B17" s="288">
        <v>-0.4230298166292063</v>
      </c>
      <c r="C17" s="288">
        <v>-0.25023149865953087</v>
      </c>
      <c r="D17" s="288">
        <v>-0.22753990047550748</v>
      </c>
      <c r="E17" s="288">
        <v>-9.5129889269798762E-2</v>
      </c>
      <c r="F17" s="288">
        <v>0.24007295457461639</v>
      </c>
      <c r="G17" s="288">
        <v>0.36551718565750513</v>
      </c>
      <c r="I17" s="91"/>
      <c r="J17" s="91"/>
      <c r="K17" s="91"/>
      <c r="L17" s="65"/>
      <c r="M17" s="65"/>
      <c r="N17" s="65"/>
    </row>
    <row r="18" spans="1:14" x14ac:dyDescent="0.25">
      <c r="A18" s="287" t="s">
        <v>575</v>
      </c>
      <c r="B18" s="288">
        <v>0</v>
      </c>
      <c r="C18" s="288">
        <v>-4.3429924482821979E-2</v>
      </c>
      <c r="D18" s="288">
        <v>0</v>
      </c>
      <c r="E18" s="288">
        <v>0</v>
      </c>
      <c r="F18" s="288">
        <v>0</v>
      </c>
      <c r="G18" s="288">
        <v>0</v>
      </c>
      <c r="I18" s="91"/>
      <c r="J18" s="91"/>
      <c r="K18" s="91"/>
      <c r="L18" s="65"/>
      <c r="M18" s="65"/>
      <c r="N18" s="65"/>
    </row>
    <row r="19" spans="1:14" x14ac:dyDescent="0.25">
      <c r="A19" s="289" t="s">
        <v>438</v>
      </c>
      <c r="B19" s="290">
        <f>B16-B17-B18</f>
        <v>-2.3215508695872575</v>
      </c>
      <c r="C19" s="290">
        <f t="shared" ref="C19" si="4">C16-C17-C18</f>
        <v>-1.3881204053720864</v>
      </c>
      <c r="D19" s="290">
        <f t="shared" ref="D19" si="5">D16-D17-D18</f>
        <v>-1.0124596682186437</v>
      </c>
      <c r="E19" s="290">
        <f t="shared" ref="E19" si="6">E16-E17-E18</f>
        <v>-0.40487011073020646</v>
      </c>
      <c r="F19" s="290">
        <f t="shared" ref="F19" si="7">F16-F17-F18</f>
        <v>-0.24007295457461639</v>
      </c>
      <c r="G19" s="290">
        <f t="shared" ref="G19" si="8">G16-G17-G18</f>
        <v>-0.36551718565750513</v>
      </c>
    </row>
    <row r="20" spans="1:14" x14ac:dyDescent="0.25">
      <c r="A20" s="291" t="s">
        <v>576</v>
      </c>
      <c r="B20" s="292">
        <v>-0.11919044031814474</v>
      </c>
      <c r="C20" s="292">
        <f>C19-B19</f>
        <v>0.93343046421517117</v>
      </c>
      <c r="D20" s="292">
        <f t="shared" ref="D20" si="9">D19-C19</f>
        <v>0.37566073715344261</v>
      </c>
      <c r="E20" s="292">
        <f t="shared" ref="E20" si="10">E19-D19</f>
        <v>0.60758955748843735</v>
      </c>
      <c r="F20" s="292">
        <f t="shared" ref="F20" si="11">F19-E19</f>
        <v>0.16479715615559007</v>
      </c>
      <c r="G20" s="292">
        <f t="shared" ref="G20" si="12">G19-F19</f>
        <v>-0.12544423108288874</v>
      </c>
    </row>
    <row r="21" spans="1:14" ht="15" customHeight="1" x14ac:dyDescent="0.25">
      <c r="A21" s="293" t="s">
        <v>872</v>
      </c>
      <c r="B21" s="294">
        <v>0</v>
      </c>
      <c r="C21" s="294">
        <v>0.25</v>
      </c>
      <c r="D21" s="294">
        <v>0.5</v>
      </c>
      <c r="E21" s="294">
        <v>0.5</v>
      </c>
      <c r="F21" s="294">
        <v>0</v>
      </c>
      <c r="G21" s="294">
        <v>0</v>
      </c>
    </row>
    <row r="22" spans="1:14" x14ac:dyDescent="0.25">
      <c r="A22" s="120" t="s">
        <v>870</v>
      </c>
      <c r="B22" s="295">
        <f>IF(B19&gt;-0.5,"MTO",B20-B21)</f>
        <v>-0.11919044031814474</v>
      </c>
      <c r="C22" s="295">
        <f t="shared" ref="C22" si="13">IF(C19&gt;-0.5,"MTO",C20-C21)</f>
        <v>0.68343046421517117</v>
      </c>
      <c r="D22" s="295">
        <f t="shared" ref="D22" si="14">IF(D19&gt;-0.5,"MTO",D20-D21)</f>
        <v>-0.12433926284655739</v>
      </c>
      <c r="E22" s="295" t="str">
        <f t="shared" ref="E22" si="15">IF(E19&gt;-0.5,"MTO",E20-E21)</f>
        <v>MTO</v>
      </c>
      <c r="F22" s="295" t="str">
        <f t="shared" ref="F22" si="16">IF(F19&gt;-0.5,"MTO",F20-F21)</f>
        <v>MTO</v>
      </c>
      <c r="G22" s="295" t="str">
        <f t="shared" ref="G22" si="17">IF(G19&gt;-0.5,"MTO",G20-G21)</f>
        <v>MTO</v>
      </c>
    </row>
    <row r="23" spans="1:14" x14ac:dyDescent="0.25">
      <c r="A23" s="297" t="s">
        <v>871</v>
      </c>
      <c r="B23" s="296">
        <v>-0.11753715968246439</v>
      </c>
      <c r="C23" s="296">
        <f>IF(C19&gt;-0.5,"MTO",AVERAGE(B22:C22))</f>
        <v>0.28212001194851322</v>
      </c>
      <c r="D23" s="296">
        <f t="shared" ref="D23" si="18">IF(D19&gt;-0.5,"MTO",AVERAGE(C22:D22))</f>
        <v>0.27954560068430689</v>
      </c>
      <c r="E23" s="296" t="str">
        <f t="shared" ref="E23" si="19">IF(E19&gt;-0.5,"MTO",AVERAGE(D22:E22))</f>
        <v>MTO</v>
      </c>
      <c r="F23" s="296" t="str">
        <f t="shared" ref="F23" si="20">IF(F19&gt;-0.5,"MTO",AVERAGE(E22:F22))</f>
        <v>MTO</v>
      </c>
      <c r="G23" s="296" t="str">
        <f t="shared" ref="G23" si="21">IF(G19&gt;-0.5,"MTO",AVERAGE(F22:G22))</f>
        <v>MTO</v>
      </c>
    </row>
    <row r="24" spans="1:14" x14ac:dyDescent="0.25">
      <c r="G24" s="462" t="s">
        <v>345</v>
      </c>
    </row>
    <row r="27" spans="1:14" x14ac:dyDescent="0.25">
      <c r="A27" s="393"/>
    </row>
    <row r="34" ht="15" customHeight="1" x14ac:dyDescent="0.25"/>
  </sheetData>
  <mergeCells count="3">
    <mergeCell ref="A3:D3"/>
    <mergeCell ref="E3:G3"/>
    <mergeCell ref="F13:G13"/>
  </mergeCells>
  <conditionalFormatting sqref="B11:G11">
    <cfRule type="cellIs" dxfId="32" priority="34" operator="lessThan">
      <formula>-0.501111</formula>
    </cfRule>
    <cfRule type="cellIs" dxfId="31" priority="35" operator="between">
      <formula>-0.0001</formula>
      <formula>-0.5</formula>
    </cfRule>
    <cfRule type="cellIs" dxfId="30" priority="36" operator="greaterThan">
      <formula>0</formula>
    </cfRule>
  </conditionalFormatting>
  <conditionalFormatting sqref="B12:G12">
    <cfRule type="cellIs" dxfId="29" priority="31" operator="lessThan">
      <formula>-0.250001</formula>
    </cfRule>
    <cfRule type="cellIs" dxfId="28" priority="32" operator="between">
      <formula>-0.001</formula>
      <formula>-0.25</formula>
    </cfRule>
    <cfRule type="cellIs" dxfId="27" priority="33" operator="greaterThan">
      <formula>0</formula>
    </cfRule>
  </conditionalFormatting>
  <conditionalFormatting sqref="B22:G22">
    <cfRule type="cellIs" dxfId="26" priority="4" operator="lessThan">
      <formula>-0.501111</formula>
    </cfRule>
    <cfRule type="cellIs" dxfId="25" priority="5" operator="between">
      <formula>-0.0001</formula>
      <formula>-0.5</formula>
    </cfRule>
    <cfRule type="cellIs" dxfId="24" priority="6" operator="greaterThan">
      <formula>0</formula>
    </cfRule>
  </conditionalFormatting>
  <conditionalFormatting sqref="B23:G23">
    <cfRule type="cellIs" dxfId="23" priority="1" operator="lessThan">
      <formula>-0.250001</formula>
    </cfRule>
    <cfRule type="cellIs" dxfId="22" priority="2" operator="between">
      <formula>-0.001</formula>
      <formula>-0.25</formula>
    </cfRule>
    <cfRule type="cellIs" dxfId="21" priority="3" operator="greaterThan">
      <formula>0</formula>
    </cfRule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/>
  <dimension ref="A3:Z17"/>
  <sheetViews>
    <sheetView showGridLines="0" zoomScale="85" zoomScaleNormal="85" workbookViewId="0">
      <selection activeCell="T18" sqref="T18"/>
    </sheetView>
  </sheetViews>
  <sheetFormatPr defaultRowHeight="13.5" x14ac:dyDescent="0.25"/>
  <cols>
    <col min="1" max="1" width="35.28515625" style="40" customWidth="1"/>
    <col min="2" max="13" width="6.85546875" style="40" customWidth="1"/>
    <col min="14" max="14" width="9.140625" style="40"/>
    <col min="15" max="16" width="10.42578125" style="40" bestFit="1" customWidth="1"/>
    <col min="17" max="17" width="28" style="40" customWidth="1"/>
    <col min="18" max="26" width="10.42578125" style="40" bestFit="1" customWidth="1"/>
    <col min="27" max="16384" width="9.140625" style="40"/>
  </cols>
  <sheetData>
    <row r="3" spans="1:26" x14ac:dyDescent="0.25">
      <c r="A3" s="390"/>
      <c r="B3" s="297">
        <v>2009</v>
      </c>
      <c r="C3" s="297">
        <v>2010</v>
      </c>
      <c r="D3" s="297">
        <v>2011</v>
      </c>
      <c r="E3" s="297">
        <v>2012</v>
      </c>
      <c r="F3" s="297">
        <v>2013</v>
      </c>
      <c r="G3" s="297">
        <v>2014</v>
      </c>
      <c r="H3" s="297">
        <v>2015</v>
      </c>
      <c r="I3" s="297">
        <v>2016</v>
      </c>
      <c r="J3" s="297">
        <v>2017</v>
      </c>
      <c r="K3" s="297">
        <v>2018</v>
      </c>
      <c r="L3" s="297">
        <v>2019</v>
      </c>
      <c r="M3" s="297">
        <v>2020</v>
      </c>
      <c r="Q3" s="535" t="s">
        <v>1051</v>
      </c>
    </row>
    <row r="4" spans="1:26" ht="14.25" thickBot="1" x14ac:dyDescent="0.3">
      <c r="A4" s="40" t="s">
        <v>747</v>
      </c>
      <c r="B4" s="49">
        <v>-6.7436638649429756</v>
      </c>
      <c r="C4" s="49">
        <v>-6.7070227361596775</v>
      </c>
      <c r="D4" s="49">
        <v>-4.3100803248711692</v>
      </c>
      <c r="E4" s="49">
        <v>-3.6346992424699445</v>
      </c>
      <c r="F4" s="49">
        <v>-1.7225962032541162</v>
      </c>
      <c r="G4" s="49">
        <v>-2.2175860542636388</v>
      </c>
      <c r="H4" s="49">
        <f>'Tab 18 '!B8</f>
        <v>-2.3215508695872575</v>
      </c>
      <c r="I4" s="49">
        <f>'Tab 18 '!C8</f>
        <v>-1.3881204053720908</v>
      </c>
      <c r="J4" s="49">
        <f>'Tab 18 '!D8</f>
        <v>-1.0124596682186437</v>
      </c>
      <c r="K4" s="49">
        <f>'Tab 18 '!E8</f>
        <v>-0.40487011073020646</v>
      </c>
      <c r="L4" s="49">
        <f>'Tab 18 '!F8</f>
        <v>-0.24007295457461639</v>
      </c>
      <c r="M4" s="49">
        <f>'Tab 18 '!G8</f>
        <v>-0.36551718565750513</v>
      </c>
      <c r="Q4" s="180"/>
      <c r="R4" s="180">
        <v>2015</v>
      </c>
      <c r="S4" s="180">
        <v>2016</v>
      </c>
      <c r="T4" s="180">
        <v>2017</v>
      </c>
      <c r="U4" s="180">
        <v>2018</v>
      </c>
      <c r="V4" s="180">
        <v>2019</v>
      </c>
      <c r="W4" s="180">
        <v>2020</v>
      </c>
    </row>
    <row r="5" spans="1:26" x14ac:dyDescent="0.25">
      <c r="A5" s="40" t="s">
        <v>748</v>
      </c>
      <c r="B5" s="49">
        <f>ESA2010_source!E59/ESA2010_source!E90*100</f>
        <v>1.4311162689716681</v>
      </c>
      <c r="C5" s="49">
        <f>ESA2010_source!F59/ESA2010_source!F90*100</f>
        <v>1.2981933282330014</v>
      </c>
      <c r="D5" s="49">
        <f>ESA2010_source!G59/ESA2010_source!G90*100</f>
        <v>1.528067090299488</v>
      </c>
      <c r="E5" s="49">
        <f>ESA2010_source!H59/ESA2010_source!H90*100</f>
        <v>1.7650690819561645</v>
      </c>
      <c r="F5" s="49">
        <f>ESA2010_source!I59/ESA2010_source!I90*100</f>
        <v>1.8700827490967928</v>
      </c>
      <c r="G5" s="49">
        <f>ESA2010_source!J59/ESA2010_source!J90*100</f>
        <v>1.9008166013593886</v>
      </c>
      <c r="H5" s="49">
        <f>ESA2010_source!K59/ESA2010_source!K90*100</f>
        <v>1.7530613730531257</v>
      </c>
      <c r="I5" s="49">
        <f>ESA2010_source!L59/ESA2010_source!L90*100</f>
        <v>1.6535993155167215</v>
      </c>
      <c r="J5" s="49">
        <f>ESA2010_source!M59/ESA2010_source!M90*100</f>
        <v>1.3079160512361077</v>
      </c>
      <c r="K5" s="49">
        <f>ESA2010_source!N59/ESA2010_source!N90*100</f>
        <v>1.2726651072735617</v>
      </c>
      <c r="L5" s="49">
        <f>ESA2010_source!O59/ESA2010_source!O90*100</f>
        <v>1.1826798186140388</v>
      </c>
      <c r="M5" s="49">
        <f>ESA2010_source!P59/ESA2010_source!P90*100</f>
        <v>1.0724131321685748</v>
      </c>
      <c r="Q5" s="6" t="s">
        <v>1052</v>
      </c>
      <c r="R5" s="110">
        <v>-0.5</v>
      </c>
      <c r="S5" s="110">
        <v>0.3</v>
      </c>
      <c r="T5" s="110">
        <v>0.3</v>
      </c>
      <c r="U5" s="110">
        <v>0.9</v>
      </c>
      <c r="V5" s="110">
        <v>0.9</v>
      </c>
      <c r="W5" s="110">
        <v>0.7</v>
      </c>
    </row>
    <row r="6" spans="1:26" ht="14.25" thickBot="1" x14ac:dyDescent="0.3">
      <c r="A6" s="40" t="s">
        <v>749</v>
      </c>
      <c r="B6" s="49">
        <f t="shared" ref="B6:M6" si="0">B4+B5</f>
        <v>-5.3125475959713073</v>
      </c>
      <c r="C6" s="49">
        <f t="shared" si="0"/>
        <v>-5.4088294079266763</v>
      </c>
      <c r="D6" s="49">
        <f t="shared" si="0"/>
        <v>-2.7820132345716813</v>
      </c>
      <c r="E6" s="49">
        <f t="shared" si="0"/>
        <v>-1.8696301605137799</v>
      </c>
      <c r="F6" s="49">
        <f t="shared" si="0"/>
        <v>0.14748654584267662</v>
      </c>
      <c r="G6" s="49">
        <f t="shared" si="0"/>
        <v>-0.31676945290425018</v>
      </c>
      <c r="H6" s="49">
        <f t="shared" si="0"/>
        <v>-0.56848949653413183</v>
      </c>
      <c r="I6" s="49">
        <f t="shared" si="0"/>
        <v>0.26547891014463065</v>
      </c>
      <c r="J6" s="49">
        <f t="shared" si="0"/>
        <v>0.29545638301746391</v>
      </c>
      <c r="K6" s="49">
        <f t="shared" si="0"/>
        <v>0.86779499654335535</v>
      </c>
      <c r="L6" s="49">
        <f t="shared" si="0"/>
        <v>0.9426068640394224</v>
      </c>
      <c r="M6" s="49">
        <f t="shared" si="0"/>
        <v>0.70689594651106968</v>
      </c>
      <c r="O6" s="655"/>
      <c r="P6" s="655"/>
      <c r="Q6" s="7" t="s">
        <v>1053</v>
      </c>
      <c r="R6" s="182">
        <v>-1.1000000000000001</v>
      </c>
      <c r="S6" s="182">
        <v>-0.6</v>
      </c>
      <c r="T6" s="182">
        <v>-0.6</v>
      </c>
      <c r="U6" s="182">
        <v>-0.2</v>
      </c>
      <c r="V6" s="182">
        <v>0.6</v>
      </c>
      <c r="W6" s="182">
        <v>0.9</v>
      </c>
      <c r="X6" s="655"/>
      <c r="Y6" s="655"/>
      <c r="Z6" s="655"/>
    </row>
    <row r="7" spans="1:26" x14ac:dyDescent="0.25">
      <c r="A7" s="40" t="s">
        <v>756</v>
      </c>
      <c r="B7" s="49"/>
      <c r="C7" s="41">
        <f>(C6-B6)</f>
        <v>-9.6281811955369001E-2</v>
      </c>
      <c r="D7" s="41">
        <f t="shared" ref="D7:M7" si="1">(D6-C6)</f>
        <v>2.6268161733549951</v>
      </c>
      <c r="E7" s="41">
        <f t="shared" si="1"/>
        <v>0.91238307405790131</v>
      </c>
      <c r="F7" s="41">
        <f t="shared" si="1"/>
        <v>2.0171167063564566</v>
      </c>
      <c r="G7" s="41">
        <f t="shared" si="1"/>
        <v>-0.4642559987469268</v>
      </c>
      <c r="H7" s="41">
        <f t="shared" si="1"/>
        <v>-0.25172004362988165</v>
      </c>
      <c r="I7" s="41">
        <f t="shared" si="1"/>
        <v>0.83396840667876249</v>
      </c>
      <c r="J7" s="41">
        <f t="shared" si="1"/>
        <v>2.9977472872833255E-2</v>
      </c>
      <c r="K7" s="41">
        <f t="shared" si="1"/>
        <v>0.57233861352589144</v>
      </c>
      <c r="L7" s="41">
        <f t="shared" si="1"/>
        <v>7.4811867496067053E-2</v>
      </c>
      <c r="M7" s="41">
        <f t="shared" si="1"/>
        <v>-0.23571091752835271</v>
      </c>
      <c r="W7" s="40" t="s">
        <v>21</v>
      </c>
    </row>
    <row r="8" spans="1:26" x14ac:dyDescent="0.25">
      <c r="A8" s="40" t="s">
        <v>285</v>
      </c>
      <c r="B8" s="49">
        <v>-2.0084330000000001</v>
      </c>
      <c r="C8" s="49">
        <v>-0.43078899999999998</v>
      </c>
      <c r="D8" s="49">
        <v>-1.0340959999999999</v>
      </c>
      <c r="E8" s="49">
        <v>-1.8987639999999999</v>
      </c>
      <c r="F8" s="49">
        <v>-2.5389020000000002</v>
      </c>
      <c r="G8" s="49">
        <v>-1.9798359999999999</v>
      </c>
      <c r="H8" s="49">
        <v>-1.0753410000000001</v>
      </c>
      <c r="I8" s="49">
        <v>-0.63608799999999999</v>
      </c>
      <c r="J8" s="49">
        <v>-0.57840599999999998</v>
      </c>
      <c r="K8" s="49">
        <v>-0.24182000000000001</v>
      </c>
      <c r="L8" s="49">
        <v>0.61026499999999995</v>
      </c>
      <c r="M8" s="49">
        <v>0.92914399999999997</v>
      </c>
    </row>
    <row r="9" spans="1:26" x14ac:dyDescent="0.25">
      <c r="A9" s="40" t="s">
        <v>754</v>
      </c>
      <c r="B9" s="49"/>
      <c r="C9" s="49">
        <f>(C8-B8)</f>
        <v>1.5776440000000003</v>
      </c>
      <c r="D9" s="49">
        <f t="shared" ref="D9" si="2">(D8-C8)</f>
        <v>-0.60330699999999993</v>
      </c>
      <c r="E9" s="49">
        <f t="shared" ref="E9" si="3">(E8-D8)</f>
        <v>-0.86466799999999999</v>
      </c>
      <c r="F9" s="49">
        <f t="shared" ref="F9" si="4">(F8-E8)</f>
        <v>-0.64013800000000032</v>
      </c>
      <c r="G9" s="49">
        <f t="shared" ref="G9" si="5">(G8-F8)</f>
        <v>0.55906600000000028</v>
      </c>
      <c r="H9" s="49">
        <f t="shared" ref="H9" si="6">(H8-G8)</f>
        <v>0.90449499999999983</v>
      </c>
      <c r="I9" s="49">
        <f t="shared" ref="I9" si="7">(I8-H8)</f>
        <v>0.43925300000000012</v>
      </c>
      <c r="J9" s="49">
        <f t="shared" ref="J9" si="8">(J8-I8)</f>
        <v>5.7682000000000011E-2</v>
      </c>
      <c r="K9" s="49">
        <f t="shared" ref="K9" si="9">(K8-J8)</f>
        <v>0.33658599999999994</v>
      </c>
      <c r="L9" s="49">
        <f t="shared" ref="L9" si="10">(L8-K8)</f>
        <v>0.85208499999999998</v>
      </c>
      <c r="M9" s="49">
        <f>(M8-L8)</f>
        <v>0.31887900000000002</v>
      </c>
      <c r="Q9" s="535" t="s">
        <v>1813</v>
      </c>
    </row>
    <row r="10" spans="1:26" ht="14.25" thickBot="1" x14ac:dyDescent="0.3">
      <c r="Q10" s="180"/>
      <c r="R10" s="180">
        <v>2015</v>
      </c>
      <c r="S10" s="180">
        <v>2016</v>
      </c>
      <c r="T10" s="180">
        <v>2017</v>
      </c>
      <c r="U10" s="180">
        <v>2018</v>
      </c>
      <c r="V10" s="180">
        <v>2019</v>
      </c>
      <c r="W10" s="180">
        <v>2020</v>
      </c>
    </row>
    <row r="11" spans="1:26" x14ac:dyDescent="0.25">
      <c r="A11" s="390"/>
      <c r="B11" s="297">
        <f>B3</f>
        <v>2009</v>
      </c>
      <c r="C11" s="297">
        <f t="shared" ref="C11:M11" si="11">C3</f>
        <v>2010</v>
      </c>
      <c r="D11" s="297">
        <f t="shared" si="11"/>
        <v>2011</v>
      </c>
      <c r="E11" s="297">
        <f t="shared" si="11"/>
        <v>2012</v>
      </c>
      <c r="F11" s="297">
        <f t="shared" si="11"/>
        <v>2013</v>
      </c>
      <c r="G11" s="297">
        <f t="shared" si="11"/>
        <v>2014</v>
      </c>
      <c r="H11" s="297">
        <f t="shared" si="11"/>
        <v>2015</v>
      </c>
      <c r="I11" s="297">
        <f t="shared" si="11"/>
        <v>2016</v>
      </c>
      <c r="J11" s="297">
        <f t="shared" si="11"/>
        <v>2017</v>
      </c>
      <c r="K11" s="297">
        <f t="shared" si="11"/>
        <v>2018</v>
      </c>
      <c r="L11" s="297">
        <f t="shared" si="11"/>
        <v>2019</v>
      </c>
      <c r="M11" s="297">
        <f t="shared" si="11"/>
        <v>2020</v>
      </c>
      <c r="Q11" s="6" t="s">
        <v>550</v>
      </c>
      <c r="R11" s="110">
        <v>-0.5</v>
      </c>
      <c r="S11" s="110">
        <v>0.3</v>
      </c>
      <c r="T11" s="110">
        <v>0.3</v>
      </c>
      <c r="U11" s="110">
        <v>0.9</v>
      </c>
      <c r="V11" s="110">
        <v>0.9</v>
      </c>
      <c r="W11" s="110">
        <v>0.7</v>
      </c>
    </row>
    <row r="12" spans="1:26" ht="14.25" thickBot="1" x14ac:dyDescent="0.3">
      <c r="A12" s="40" t="s">
        <v>750</v>
      </c>
      <c r="B12" s="49">
        <f t="shared" ref="B12:G12" si="12">B4</f>
        <v>-6.7436638649429756</v>
      </c>
      <c r="C12" s="49">
        <f t="shared" si="12"/>
        <v>-6.7070227361596775</v>
      </c>
      <c r="D12" s="49">
        <f t="shared" si="12"/>
        <v>-4.3100803248711692</v>
      </c>
      <c r="E12" s="49">
        <f t="shared" si="12"/>
        <v>-3.6346992424699445</v>
      </c>
      <c r="F12" s="49">
        <f t="shared" si="12"/>
        <v>-1.7225962032541162</v>
      </c>
      <c r="G12" s="49">
        <f t="shared" si="12"/>
        <v>-2.2175860542636388</v>
      </c>
      <c r="H12" s="49">
        <f>'Tab 18 '!B8</f>
        <v>-2.3215508695872575</v>
      </c>
      <c r="I12" s="49">
        <f>'Tab 18 '!C8</f>
        <v>-1.3881204053720908</v>
      </c>
      <c r="J12" s="49">
        <f>'Tab 18 '!D8</f>
        <v>-1.0124596682186437</v>
      </c>
      <c r="K12" s="49">
        <f>'Tab 18 '!E8</f>
        <v>-0.40487011073020646</v>
      </c>
      <c r="L12" s="49">
        <f>'Tab 18 '!F8</f>
        <v>-0.24007295457461639</v>
      </c>
      <c r="M12" s="49">
        <f>'Tab 18 '!G8</f>
        <v>-0.36551718565750513</v>
      </c>
      <c r="Q12" s="7" t="s">
        <v>429</v>
      </c>
      <c r="R12" s="182">
        <v>-1.1000000000000001</v>
      </c>
      <c r="S12" s="182">
        <v>-0.6</v>
      </c>
      <c r="T12" s="182">
        <v>-0.6</v>
      </c>
      <c r="U12" s="182">
        <v>-0.2</v>
      </c>
      <c r="V12" s="182">
        <v>0.6</v>
      </c>
      <c r="W12" s="182">
        <v>0.9</v>
      </c>
    </row>
    <row r="13" spans="1:26" x14ac:dyDescent="0.25">
      <c r="A13" s="40" t="s">
        <v>751</v>
      </c>
      <c r="B13" s="49">
        <f>ESA2010_source!E59/ESA2010_source!E90*100</f>
        <v>1.4311162689716681</v>
      </c>
      <c r="C13" s="49">
        <f>ESA2010_source!F59/ESA2010_source!F90*100</f>
        <v>1.2981933282330014</v>
      </c>
      <c r="D13" s="49">
        <f>ESA2010_source!G59/ESA2010_source!G90*100</f>
        <v>1.528067090299488</v>
      </c>
      <c r="E13" s="49">
        <f>ESA2010_source!H59/ESA2010_source!H90*100</f>
        <v>1.7650690819561645</v>
      </c>
      <c r="F13" s="49">
        <f>ESA2010_source!I59/ESA2010_source!I90*100</f>
        <v>1.8700827490967928</v>
      </c>
      <c r="G13" s="49">
        <f>ESA2010_source!J59/ESA2010_source!J90*100</f>
        <v>1.9008166013593886</v>
      </c>
      <c r="H13" s="49">
        <f>ESA2010_source!K59/ESA2010_source!K90*100</f>
        <v>1.7530613730531257</v>
      </c>
      <c r="I13" s="49">
        <f>ESA2010_source!L59/ESA2010_source!L90*100</f>
        <v>1.6535993155167215</v>
      </c>
      <c r="J13" s="49">
        <f>ESA2010_source!M59/ESA2010_source!M90*100</f>
        <v>1.3079160512361077</v>
      </c>
      <c r="K13" s="49">
        <f>ESA2010_source!N59/ESA2010_source!N90*100</f>
        <v>1.2726651072735617</v>
      </c>
      <c r="L13" s="49">
        <f>ESA2010_source!O59/ESA2010_source!O90*100</f>
        <v>1.1826798186140388</v>
      </c>
      <c r="M13" s="49">
        <f>ESA2010_source!P59/ESA2010_source!P90*100</f>
        <v>1.0724131321685748</v>
      </c>
      <c r="W13" s="40" t="s">
        <v>345</v>
      </c>
    </row>
    <row r="14" spans="1:26" x14ac:dyDescent="0.25">
      <c r="A14" s="40" t="s">
        <v>752</v>
      </c>
      <c r="B14" s="49">
        <f t="shared" ref="B14:M14" si="13">B12+B13</f>
        <v>-5.3125475959713073</v>
      </c>
      <c r="C14" s="49">
        <f t="shared" si="13"/>
        <v>-5.4088294079266763</v>
      </c>
      <c r="D14" s="49">
        <f t="shared" si="13"/>
        <v>-2.7820132345716813</v>
      </c>
      <c r="E14" s="49">
        <f t="shared" si="13"/>
        <v>-1.8696301605137799</v>
      </c>
      <c r="F14" s="49">
        <f t="shared" si="13"/>
        <v>0.14748654584267662</v>
      </c>
      <c r="G14" s="49">
        <f t="shared" si="13"/>
        <v>-0.31676945290425018</v>
      </c>
      <c r="H14" s="49">
        <f t="shared" si="13"/>
        <v>-0.56848949653413183</v>
      </c>
      <c r="I14" s="49">
        <f t="shared" si="13"/>
        <v>0.26547891014463065</v>
      </c>
      <c r="J14" s="49">
        <f t="shared" si="13"/>
        <v>0.29545638301746391</v>
      </c>
      <c r="K14" s="49">
        <f t="shared" si="13"/>
        <v>0.86779499654335535</v>
      </c>
      <c r="L14" s="49">
        <f t="shared" si="13"/>
        <v>0.9426068640394224</v>
      </c>
      <c r="M14" s="49">
        <f t="shared" si="13"/>
        <v>0.70689594651106968</v>
      </c>
    </row>
    <row r="15" spans="1:26" x14ac:dyDescent="0.25">
      <c r="A15" s="40" t="s">
        <v>753</v>
      </c>
      <c r="B15" s="49"/>
      <c r="C15" s="41">
        <f>(C14-B14)</f>
        <v>-9.6281811955369001E-2</v>
      </c>
      <c r="D15" s="41">
        <f t="shared" ref="D15" si="14">(D14-C14)</f>
        <v>2.6268161733549951</v>
      </c>
      <c r="E15" s="41">
        <f t="shared" ref="E15" si="15">(E14-D14)</f>
        <v>0.91238307405790131</v>
      </c>
      <c r="F15" s="41">
        <f t="shared" ref="F15" si="16">(F14-E14)</f>
        <v>2.0171167063564566</v>
      </c>
      <c r="G15" s="41">
        <f t="shared" ref="G15" si="17">(G14-F14)</f>
        <v>-0.4642559987469268</v>
      </c>
      <c r="H15" s="41">
        <f t="shared" ref="H15" si="18">(H14-G14)</f>
        <v>-0.25172004362988165</v>
      </c>
      <c r="I15" s="41">
        <f t="shared" ref="I15" si="19">(I14-H14)</f>
        <v>0.83396840667876249</v>
      </c>
      <c r="J15" s="41">
        <f t="shared" ref="J15" si="20">(J14-I14)</f>
        <v>2.9977472872833255E-2</v>
      </c>
      <c r="K15" s="41">
        <f t="shared" ref="K15" si="21">(K14-J14)</f>
        <v>0.57233861352589144</v>
      </c>
      <c r="L15" s="41">
        <f t="shared" ref="L15" si="22">(L14-K14)</f>
        <v>7.4811867496067053E-2</v>
      </c>
      <c r="M15" s="41">
        <f t="shared" ref="M15" si="23">(M14-L14)</f>
        <v>-0.23571091752835271</v>
      </c>
    </row>
    <row r="16" spans="1:26" x14ac:dyDescent="0.25">
      <c r="A16" s="40" t="s">
        <v>427</v>
      </c>
      <c r="B16" s="49">
        <f t="shared" ref="B16:C16" si="24">B8</f>
        <v>-2.0084330000000001</v>
      </c>
      <c r="C16" s="49">
        <f t="shared" si="24"/>
        <v>-0.43078899999999998</v>
      </c>
      <c r="D16" s="49">
        <f t="shared" ref="D16:M16" si="25">D8</f>
        <v>-1.0340959999999999</v>
      </c>
      <c r="E16" s="49">
        <f t="shared" si="25"/>
        <v>-1.8987639999999999</v>
      </c>
      <c r="F16" s="49">
        <f t="shared" si="25"/>
        <v>-2.5389020000000002</v>
      </c>
      <c r="G16" s="49">
        <f t="shared" si="25"/>
        <v>-1.9798359999999999</v>
      </c>
      <c r="H16" s="49">
        <f t="shared" si="25"/>
        <v>-1.0753410000000001</v>
      </c>
      <c r="I16" s="49">
        <f t="shared" si="25"/>
        <v>-0.63608799999999999</v>
      </c>
      <c r="J16" s="49">
        <f t="shared" si="25"/>
        <v>-0.57840599999999998</v>
      </c>
      <c r="K16" s="49">
        <f t="shared" si="25"/>
        <v>-0.24182000000000001</v>
      </c>
      <c r="L16" s="49">
        <f t="shared" si="25"/>
        <v>0.61026499999999995</v>
      </c>
      <c r="M16" s="49">
        <f t="shared" si="25"/>
        <v>0.92914399999999997</v>
      </c>
    </row>
    <row r="17" spans="1:13" x14ac:dyDescent="0.25">
      <c r="A17" s="40" t="s">
        <v>755</v>
      </c>
      <c r="C17" s="49">
        <f>(C16-B16)</f>
        <v>1.5776440000000003</v>
      </c>
      <c r="D17" s="49">
        <f t="shared" ref="D17:M17" si="26">(D16-C16)</f>
        <v>-0.60330699999999993</v>
      </c>
      <c r="E17" s="49">
        <f t="shared" si="26"/>
        <v>-0.86466799999999999</v>
      </c>
      <c r="F17" s="49">
        <f t="shared" si="26"/>
        <v>-0.64013800000000032</v>
      </c>
      <c r="G17" s="49">
        <f t="shared" si="26"/>
        <v>0.55906600000000028</v>
      </c>
      <c r="H17" s="49">
        <f t="shared" si="26"/>
        <v>0.90449499999999983</v>
      </c>
      <c r="I17" s="49">
        <f t="shared" si="26"/>
        <v>0.43925300000000012</v>
      </c>
      <c r="J17" s="49">
        <f t="shared" si="26"/>
        <v>5.7682000000000011E-2</v>
      </c>
      <c r="K17" s="49">
        <f t="shared" si="26"/>
        <v>0.33658599999999994</v>
      </c>
      <c r="L17" s="49">
        <f t="shared" si="26"/>
        <v>0.85208499999999998</v>
      </c>
      <c r="M17" s="49">
        <f t="shared" si="26"/>
        <v>0.31887900000000002</v>
      </c>
    </row>
  </sheetData>
  <pageMargins left="0.7" right="0.7" top="0.75" bottom="0.75" header="0.3" footer="0.3"/>
  <ignoredErrors>
    <ignoredError sqref="H12:M12 B13:M13 C16:M17" formula="1"/>
  </ignoredErrors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2:X59"/>
  <sheetViews>
    <sheetView showGridLines="0" zoomScale="85" zoomScaleNormal="85" workbookViewId="0">
      <selection activeCell="H23" sqref="H23"/>
    </sheetView>
  </sheetViews>
  <sheetFormatPr defaultRowHeight="13.5" x14ac:dyDescent="0.25"/>
  <cols>
    <col min="1" max="1" width="51.42578125" style="40" customWidth="1"/>
    <col min="2" max="2" width="10.42578125" style="40" customWidth="1"/>
    <col min="3" max="4" width="7.7109375" style="40" customWidth="1"/>
    <col min="5" max="6" width="7.7109375" style="412" customWidth="1"/>
    <col min="7" max="9" width="7.7109375" style="40" customWidth="1"/>
    <col min="10" max="15" width="10" style="40" customWidth="1"/>
    <col min="16" max="16384" width="9.140625" style="40"/>
  </cols>
  <sheetData>
    <row r="2" spans="1:24" x14ac:dyDescent="0.25">
      <c r="B2" s="116"/>
      <c r="C2" s="115"/>
      <c r="D2" s="115"/>
    </row>
    <row r="3" spans="1:24" x14ac:dyDescent="0.25">
      <c r="A3" s="966" t="s">
        <v>1556</v>
      </c>
      <c r="B3" s="966"/>
      <c r="C3" s="966"/>
      <c r="D3" s="966"/>
      <c r="E3" s="966"/>
      <c r="F3" s="966"/>
      <c r="G3" s="966"/>
      <c r="H3" s="966"/>
      <c r="I3" s="966"/>
      <c r="J3" s="413"/>
      <c r="K3" s="413"/>
      <c r="L3" s="966" t="s">
        <v>1058</v>
      </c>
      <c r="M3" s="966"/>
      <c r="N3" s="966"/>
      <c r="O3" s="966"/>
      <c r="P3" s="966"/>
      <c r="R3" s="966"/>
      <c r="S3" s="966"/>
      <c r="T3" s="966"/>
      <c r="U3" s="966"/>
      <c r="V3" s="966"/>
      <c r="W3" s="966"/>
      <c r="X3" s="966"/>
    </row>
    <row r="4" spans="1:24" x14ac:dyDescent="0.25">
      <c r="A4" s="414"/>
      <c r="B4" s="415"/>
      <c r="C4" s="306">
        <v>2014</v>
      </c>
      <c r="D4" s="306">
        <v>2015</v>
      </c>
      <c r="E4" s="306">
        <v>2016</v>
      </c>
      <c r="F4" s="306" t="s">
        <v>873</v>
      </c>
      <c r="G4" s="306">
        <v>2018</v>
      </c>
      <c r="H4" s="306">
        <v>2019</v>
      </c>
      <c r="I4" s="306">
        <v>2020</v>
      </c>
      <c r="J4" s="57"/>
    </row>
    <row r="5" spans="1:24" x14ac:dyDescent="0.25">
      <c r="A5" s="416" t="s">
        <v>72</v>
      </c>
      <c r="B5" s="417" t="s">
        <v>51</v>
      </c>
      <c r="C5" s="884">
        <f>ESA2010_source!J42</f>
        <v>31910.616000000002</v>
      </c>
      <c r="D5" s="884">
        <f>ESA2010_source!K42</f>
        <v>35850.418999999994</v>
      </c>
      <c r="E5" s="884">
        <f>ESA2010_source!L42</f>
        <v>33706.260999999999</v>
      </c>
      <c r="F5" s="884">
        <f>ESA2010_source!M42</f>
        <v>34615.375</v>
      </c>
      <c r="G5" s="884">
        <f>ESA2010_source!N42</f>
        <v>35027.787000000004</v>
      </c>
      <c r="H5" s="884">
        <f>ESA2010_source!O42</f>
        <v>36677.885000000002</v>
      </c>
      <c r="I5" s="884">
        <f>ESA2010_source!P42</f>
        <v>38233.161</v>
      </c>
      <c r="J5" s="113"/>
    </row>
    <row r="6" spans="1:24" x14ac:dyDescent="0.25">
      <c r="A6" s="418" t="s">
        <v>73</v>
      </c>
      <c r="B6" s="417" t="s">
        <v>51</v>
      </c>
      <c r="C6" s="885">
        <f>ESA2010_source!J59</f>
        <v>1443.6010000000001</v>
      </c>
      <c r="D6" s="885">
        <f>ESA2010_source!K59</f>
        <v>1379.4069999999999</v>
      </c>
      <c r="E6" s="885">
        <f>ESA2010_source!L59</f>
        <v>1338.721</v>
      </c>
      <c r="F6" s="885">
        <f>ESA2010_source!M59</f>
        <v>1106.2400000000002</v>
      </c>
      <c r="G6" s="885">
        <f>ESA2010_source!N59</f>
        <v>1137.1390000000001</v>
      </c>
      <c r="H6" s="885">
        <f>ESA2010_source!O59</f>
        <v>1124.4100000000001</v>
      </c>
      <c r="I6" s="885">
        <f>ESA2010_source!P59</f>
        <v>1080.24</v>
      </c>
      <c r="J6" s="419"/>
      <c r="K6" s="70"/>
      <c r="L6" s="393"/>
      <c r="M6" s="70"/>
      <c r="N6" s="393"/>
      <c r="O6" s="70"/>
    </row>
    <row r="7" spans="1:24" x14ac:dyDescent="0.25">
      <c r="A7" s="418" t="s">
        <v>874</v>
      </c>
      <c r="B7" s="417" t="s">
        <v>51</v>
      </c>
      <c r="C7" s="885">
        <v>971</v>
      </c>
      <c r="D7" s="885">
        <v>2345</v>
      </c>
      <c r="E7" s="885">
        <v>506.88200000000001</v>
      </c>
      <c r="F7" s="885">
        <v>651.5</v>
      </c>
      <c r="G7" s="885">
        <v>427.31700000000001</v>
      </c>
      <c r="H7" s="885">
        <v>591.14499999999998</v>
      </c>
      <c r="I7" s="885">
        <v>591.14499999999998</v>
      </c>
      <c r="J7" s="70"/>
      <c r="K7" s="70"/>
      <c r="L7" s="393"/>
      <c r="M7" s="70"/>
      <c r="N7" s="393"/>
      <c r="O7" s="70"/>
    </row>
    <row r="8" spans="1:24" x14ac:dyDescent="0.25">
      <c r="A8" s="418" t="s">
        <v>875</v>
      </c>
      <c r="B8" s="417" t="s">
        <v>51</v>
      </c>
      <c r="C8" s="885">
        <v>1281</v>
      </c>
      <c r="D8" s="885">
        <v>2789</v>
      </c>
      <c r="E8" s="885">
        <v>796.34500000000003</v>
      </c>
      <c r="F8" s="885">
        <v>999.94100000000003</v>
      </c>
      <c r="G8" s="885">
        <v>791.82600000000002</v>
      </c>
      <c r="H8" s="885">
        <v>1375</v>
      </c>
      <c r="I8" s="885">
        <v>1332.694</v>
      </c>
      <c r="J8" s="70"/>
      <c r="K8" s="70"/>
      <c r="L8" s="393"/>
      <c r="M8" s="70"/>
      <c r="N8" s="393"/>
      <c r="O8" s="70"/>
    </row>
    <row r="9" spans="1:24" x14ac:dyDescent="0.25">
      <c r="A9" s="418" t="s">
        <v>315</v>
      </c>
      <c r="B9" s="417" t="s">
        <v>51</v>
      </c>
      <c r="C9" s="885">
        <v>2052.41</v>
      </c>
      <c r="D9" s="885">
        <v>2605.6450000000004</v>
      </c>
      <c r="E9" s="885">
        <v>2091.36</v>
      </c>
      <c r="F9" s="885">
        <v>2110.3669999999997</v>
      </c>
      <c r="G9" s="885">
        <v>1981.4610000000002</v>
      </c>
      <c r="H9" s="885">
        <v>1846.7190000000001</v>
      </c>
      <c r="I9" s="885">
        <v>2269.4499999999998</v>
      </c>
      <c r="J9" s="70"/>
      <c r="K9" s="70"/>
      <c r="L9" s="393"/>
      <c r="M9" s="70"/>
      <c r="N9" s="393"/>
      <c r="O9" s="70"/>
    </row>
    <row r="10" spans="1:24" x14ac:dyDescent="0.25">
      <c r="A10" s="418" t="s">
        <v>316</v>
      </c>
      <c r="B10" s="417" t="s">
        <v>51</v>
      </c>
      <c r="C10" s="885">
        <v>1747.7649999999999</v>
      </c>
      <c r="D10" s="885">
        <v>1944.4865</v>
      </c>
      <c r="E10" s="886">
        <v>2061.3737500000002</v>
      </c>
      <c r="F10" s="886">
        <v>2214.9455000000003</v>
      </c>
      <c r="G10" s="885">
        <v>2197.2082500000006</v>
      </c>
      <c r="H10" s="885">
        <v>2007.47675</v>
      </c>
      <c r="I10" s="885">
        <v>2051.9992499999998</v>
      </c>
      <c r="J10" s="70"/>
      <c r="K10" s="70"/>
      <c r="L10" s="393"/>
      <c r="M10" s="70"/>
      <c r="N10" s="393"/>
      <c r="O10" s="70"/>
    </row>
    <row r="11" spans="1:24" x14ac:dyDescent="0.25">
      <c r="A11" s="420" t="s">
        <v>74</v>
      </c>
      <c r="B11" s="417" t="s">
        <v>51</v>
      </c>
      <c r="C11" s="885">
        <v>17.408382699769074</v>
      </c>
      <c r="D11" s="885">
        <v>9.7963379838900941</v>
      </c>
      <c r="E11" s="886">
        <v>5.9620998554370859</v>
      </c>
      <c r="F11" s="886">
        <v>5.6640167413875808</v>
      </c>
      <c r="G11" s="885">
        <v>2.5015770559276929</v>
      </c>
      <c r="H11" s="885">
        <v>-6.7173538624445461</v>
      </c>
      <c r="I11" s="885">
        <v>-10.835860583369183</v>
      </c>
      <c r="J11" s="62"/>
      <c r="K11" s="62"/>
      <c r="L11" s="393"/>
      <c r="M11" s="62"/>
      <c r="N11" s="393"/>
      <c r="O11" s="62"/>
    </row>
    <row r="12" spans="1:24" x14ac:dyDescent="0.25">
      <c r="A12" s="421" t="s">
        <v>75</v>
      </c>
      <c r="B12" s="417" t="s">
        <v>51</v>
      </c>
      <c r="C12" s="885">
        <v>0</v>
      </c>
      <c r="D12" s="885">
        <v>0</v>
      </c>
      <c r="E12" s="886">
        <v>0</v>
      </c>
      <c r="F12" s="886">
        <v>0</v>
      </c>
      <c r="G12" s="885">
        <v>0</v>
      </c>
      <c r="H12" s="885">
        <v>0</v>
      </c>
      <c r="I12" s="885">
        <v>0</v>
      </c>
      <c r="J12" s="62"/>
      <c r="K12" s="62"/>
      <c r="L12" s="393"/>
      <c r="M12" s="62"/>
      <c r="N12" s="393"/>
      <c r="O12" s="62"/>
    </row>
    <row r="13" spans="1:24" x14ac:dyDescent="0.25">
      <c r="A13" s="422" t="s">
        <v>876</v>
      </c>
      <c r="B13" s="423" t="s">
        <v>51</v>
      </c>
      <c r="C13" s="887">
        <f t="shared" ref="C13:G13" si="0">C5-C6-C8-C9+C10-C11-C12</f>
        <v>28863.961617300232</v>
      </c>
      <c r="D13" s="887">
        <f t="shared" si="0"/>
        <v>31011.057162016103</v>
      </c>
      <c r="E13" s="888">
        <f>E5-E6-E8-E9+E10-E11-E12</f>
        <v>31535.246650144556</v>
      </c>
      <c r="F13" s="888">
        <f t="shared" si="0"/>
        <v>32608.10848325862</v>
      </c>
      <c r="G13" s="887">
        <f t="shared" si="0"/>
        <v>33312.067672944075</v>
      </c>
      <c r="H13" s="887">
        <f>H5-H6-H8-H9+H10-H11-H12</f>
        <v>34345.950103862437</v>
      </c>
      <c r="I13" s="887">
        <f>I5-I6-I8-I9+I10-I11-I12</f>
        <v>35613.612110583374</v>
      </c>
      <c r="J13" s="71"/>
      <c r="K13" s="71"/>
      <c r="L13" s="393"/>
      <c r="M13" s="71"/>
      <c r="N13" s="393"/>
      <c r="O13" s="71"/>
    </row>
    <row r="14" spans="1:24" ht="15" x14ac:dyDescent="0.25">
      <c r="A14" s="421" t="s">
        <v>1557</v>
      </c>
      <c r="B14" s="417" t="s">
        <v>51</v>
      </c>
      <c r="C14" s="889">
        <v>559.14608660248632</v>
      </c>
      <c r="D14" s="70">
        <f t="shared" ref="D14:H14" si="1">D13-C13</f>
        <v>2147.0955447158703</v>
      </c>
      <c r="E14" s="70">
        <f>E13-D13</f>
        <v>524.18948812845338</v>
      </c>
      <c r="F14" s="70">
        <f t="shared" si="1"/>
        <v>1072.8618331140642</v>
      </c>
      <c r="G14" s="70">
        <f t="shared" si="1"/>
        <v>703.95918968545448</v>
      </c>
      <c r="H14" s="70">
        <f t="shared" si="1"/>
        <v>1033.8824309183619</v>
      </c>
      <c r="I14" s="70">
        <f>I13-H13</f>
        <v>1267.6620067209369</v>
      </c>
      <c r="J14" s="70"/>
      <c r="K14" s="62"/>
      <c r="L14" s="393"/>
      <c r="M14" s="62"/>
      <c r="N14" s="393"/>
      <c r="O14" s="62"/>
    </row>
    <row r="15" spans="1:24" x14ac:dyDescent="0.25">
      <c r="A15" s="418" t="s">
        <v>76</v>
      </c>
      <c r="B15" s="417" t="s">
        <v>51</v>
      </c>
      <c r="C15" s="885">
        <v>-29.897010648782615</v>
      </c>
      <c r="D15" s="885">
        <f>DRM!L33</f>
        <v>138.58781282743243</v>
      </c>
      <c r="E15" s="885">
        <f>DRM!M33</f>
        <v>-136.01000000000005</v>
      </c>
      <c r="F15" s="885">
        <f>DRM!N33</f>
        <v>200.58835422035892</v>
      </c>
      <c r="G15" s="885">
        <f>DRM!O33</f>
        <v>-60.564597355331152</v>
      </c>
      <c r="H15" s="885">
        <f>DRM!P33</f>
        <v>-16.858617740175745</v>
      </c>
      <c r="I15" s="885">
        <f>DRM!Q33</f>
        <v>-17.36424554317847</v>
      </c>
      <c r="L15" s="393">
        <v>0</v>
      </c>
      <c r="M15" s="70"/>
      <c r="N15" s="393"/>
      <c r="O15" s="70"/>
    </row>
    <row r="16" spans="1:24" ht="15.75" customHeight="1" x14ac:dyDescent="0.25">
      <c r="A16" s="418" t="s">
        <v>994</v>
      </c>
      <c r="B16" s="417" t="s">
        <v>51</v>
      </c>
      <c r="C16" s="298">
        <v>208.7</v>
      </c>
      <c r="D16" s="298">
        <v>0</v>
      </c>
      <c r="E16" s="298">
        <v>0</v>
      </c>
      <c r="F16" s="298">
        <v>0</v>
      </c>
      <c r="G16" s="298">
        <v>0</v>
      </c>
      <c r="H16" s="298">
        <v>0</v>
      </c>
      <c r="I16" s="298">
        <v>0</v>
      </c>
      <c r="M16" s="72"/>
      <c r="N16" s="393"/>
      <c r="O16" s="72"/>
    </row>
    <row r="17" spans="1:18" x14ac:dyDescent="0.25">
      <c r="A17" s="418" t="s">
        <v>995</v>
      </c>
      <c r="B17" s="417" t="s">
        <v>51</v>
      </c>
      <c r="C17" s="298">
        <v>-0.69499729684279998</v>
      </c>
      <c r="D17" s="298">
        <v>0</v>
      </c>
      <c r="E17" s="298">
        <v>-35.159999999999997</v>
      </c>
      <c r="F17" s="298">
        <v>0</v>
      </c>
      <c r="G17" s="298">
        <v>0</v>
      </c>
      <c r="H17" s="298">
        <v>0</v>
      </c>
      <c r="I17" s="298">
        <v>0</v>
      </c>
      <c r="M17" s="72"/>
      <c r="N17" s="393"/>
      <c r="O17" s="72"/>
    </row>
    <row r="18" spans="1:18" x14ac:dyDescent="0.25">
      <c r="A18" s="424" t="s">
        <v>996</v>
      </c>
      <c r="B18" s="423" t="s">
        <v>51</v>
      </c>
      <c r="C18" s="314">
        <v>0</v>
      </c>
      <c r="D18" s="314">
        <v>0</v>
      </c>
      <c r="E18" s="314">
        <v>-33.5</v>
      </c>
      <c r="F18" s="314">
        <v>0</v>
      </c>
      <c r="G18" s="314">
        <v>0</v>
      </c>
      <c r="H18" s="314">
        <v>0</v>
      </c>
      <c r="I18" s="314">
        <v>0</v>
      </c>
      <c r="M18" s="72"/>
      <c r="N18" s="393"/>
      <c r="O18" s="72"/>
    </row>
    <row r="19" spans="1:18" ht="15" x14ac:dyDescent="0.25">
      <c r="A19" s="425" t="s">
        <v>1558</v>
      </c>
      <c r="B19" s="426" t="s">
        <v>30</v>
      </c>
      <c r="C19" s="315">
        <v>2.8159452199573405</v>
      </c>
      <c r="D19" s="315">
        <f>(D14-D15+D16+D17+D18)/C13*100</f>
        <v>6.9585310516924892</v>
      </c>
      <c r="E19" s="315">
        <f t="shared" ref="E19" si="2">(E14-E15+E16+E17+E18)/D13*100</f>
        <v>1.9075115209326068</v>
      </c>
      <c r="F19" s="315">
        <f t="shared" ref="F19" si="3">(F14-F15+F16+F17+F18)/E13*100</f>
        <v>2.7660271332924768</v>
      </c>
      <c r="G19" s="315">
        <f t="shared" ref="G19" si="4">(G14-G15+G16+G17+G18)/F13*100</f>
        <v>2.3445818313359115</v>
      </c>
      <c r="H19" s="315">
        <f t="shared" ref="H19" si="5">(H14-H15+H16+H17+H18)/G13*100</f>
        <v>3.1542354529735341</v>
      </c>
      <c r="I19" s="315">
        <f t="shared" ref="I19" si="6">(I14-I15+I16+I17+I18)/H13*100</f>
        <v>3.7414200171437546</v>
      </c>
      <c r="J19" s="73"/>
      <c r="K19" s="73"/>
    </row>
    <row r="20" spans="1:18" x14ac:dyDescent="0.25">
      <c r="A20" s="424" t="s">
        <v>77</v>
      </c>
      <c r="B20" s="423" t="s">
        <v>30</v>
      </c>
      <c r="C20" s="316">
        <f t="shared" ref="C20" si="7">(((1+C19/100)/(1+C25/100))-1)*100</f>
        <v>0.91072773726512679</v>
      </c>
      <c r="D20" s="316">
        <f t="shared" ref="D20:I20" si="8">(((1+D19/100)/(1+D25/100))-1)*100</f>
        <v>6.2125108845955346</v>
      </c>
      <c r="E20" s="316">
        <f>(((1+E19/100)/(1+E25/100))-1)*100</f>
        <v>0.73685405076342469</v>
      </c>
      <c r="F20" s="316">
        <f t="shared" si="8"/>
        <v>1.5864067897754852</v>
      </c>
      <c r="G20" s="316">
        <f>(((1+G19/100)/(1+G25/100))-1)*100</f>
        <v>0.8321003264393223</v>
      </c>
      <c r="H20" s="316">
        <f t="shared" si="8"/>
        <v>1.169650449966686</v>
      </c>
      <c r="I20" s="316">
        <f t="shared" si="8"/>
        <v>1.6462335492885449</v>
      </c>
      <c r="J20" s="74"/>
      <c r="K20" s="75"/>
      <c r="L20" s="393"/>
      <c r="M20" s="75"/>
      <c r="N20" s="393"/>
      <c r="O20" s="75"/>
    </row>
    <row r="21" spans="1:18" x14ac:dyDescent="0.25">
      <c r="A21" s="425" t="s">
        <v>78</v>
      </c>
      <c r="B21" s="426" t="s">
        <v>79</v>
      </c>
      <c r="C21" s="315">
        <v>4.0667768292251738</v>
      </c>
      <c r="D21" s="315">
        <v>2.9279065204139698</v>
      </c>
      <c r="E21" s="315">
        <v>2.2161125774069674</v>
      </c>
      <c r="F21" s="315">
        <v>1.3480051001340336</v>
      </c>
      <c r="G21" s="315">
        <v>1.3480051001340336</v>
      </c>
      <c r="H21" s="315">
        <v>2.6049092470555451</v>
      </c>
      <c r="I21" s="315">
        <v>2.6049092470555451</v>
      </c>
      <c r="J21" s="76"/>
      <c r="R21" s="427"/>
    </row>
    <row r="22" spans="1:18" x14ac:dyDescent="0.25">
      <c r="A22" s="424" t="s">
        <v>167</v>
      </c>
      <c r="B22" s="423" t="s">
        <v>79</v>
      </c>
      <c r="C22" s="316">
        <f t="shared" ref="C22:I22" si="9">C21-C20</f>
        <v>3.156049091960047</v>
      </c>
      <c r="D22" s="316">
        <f t="shared" si="9"/>
        <v>-3.2846043641815648</v>
      </c>
      <c r="E22" s="316">
        <f>E21-E20</f>
        <v>1.4792585266435427</v>
      </c>
      <c r="F22" s="316">
        <f t="shared" si="9"/>
        <v>-0.23840168964145159</v>
      </c>
      <c r="G22" s="316">
        <f t="shared" si="9"/>
        <v>0.51590477369471133</v>
      </c>
      <c r="H22" s="316">
        <f t="shared" si="9"/>
        <v>1.4352587970888591</v>
      </c>
      <c r="I22" s="316">
        <f t="shared" si="9"/>
        <v>0.95867569776700012</v>
      </c>
      <c r="J22" s="77"/>
      <c r="K22" s="77"/>
    </row>
    <row r="23" spans="1:18" x14ac:dyDescent="0.25">
      <c r="A23" s="428" t="s">
        <v>80</v>
      </c>
      <c r="B23" s="429" t="s">
        <v>52</v>
      </c>
      <c r="C23" s="75">
        <v>1.176243187033565</v>
      </c>
      <c r="D23" s="75">
        <f t="shared" ref="D23:I23" si="10">(D22/100*C13)/D27*100</f>
        <v>-1.204879732209142</v>
      </c>
      <c r="E23" s="302">
        <f t="shared" si="10"/>
        <v>0.56663169125492052</v>
      </c>
      <c r="F23" s="303">
        <f t="shared" si="10"/>
        <v>-8.8886554700722792E-2</v>
      </c>
      <c r="G23" s="75">
        <f t="shared" si="10"/>
        <v>0.18827633521357495</v>
      </c>
      <c r="H23" s="75">
        <f t="shared" si="10"/>
        <v>0.50289149892502549</v>
      </c>
      <c r="I23" s="75">
        <f t="shared" si="10"/>
        <v>0.32688058138415221</v>
      </c>
      <c r="J23" s="77"/>
      <c r="K23" s="77"/>
    </row>
    <row r="24" spans="1:18" ht="14.25" thickBot="1" x14ac:dyDescent="0.3">
      <c r="A24" s="430" t="s">
        <v>81</v>
      </c>
      <c r="B24" s="431" t="s">
        <v>52</v>
      </c>
      <c r="C24" s="307"/>
      <c r="D24" s="307">
        <f t="shared" ref="D24:I24" si="11">(C23+D23)/2</f>
        <v>-1.4318272587788505E-2</v>
      </c>
      <c r="E24" s="307">
        <f t="shared" si="11"/>
        <v>-0.31912402047711075</v>
      </c>
      <c r="F24" s="307">
        <f t="shared" si="11"/>
        <v>0.23887256827709885</v>
      </c>
      <c r="G24" s="307">
        <f>(F23+G23)/2</f>
        <v>4.969489025642608E-2</v>
      </c>
      <c r="H24" s="307">
        <f t="shared" si="11"/>
        <v>0.34558391706930025</v>
      </c>
      <c r="I24" s="307">
        <f t="shared" si="11"/>
        <v>0.41488604015458885</v>
      </c>
      <c r="N24" s="432"/>
    </row>
    <row r="25" spans="1:18" ht="15" customHeight="1" x14ac:dyDescent="0.25">
      <c r="A25" s="433" t="s">
        <v>166</v>
      </c>
      <c r="B25" s="434" t="s">
        <v>30</v>
      </c>
      <c r="C25" s="77">
        <v>1.8880227359500346</v>
      </c>
      <c r="D25" s="77">
        <v>0.70238445629776658</v>
      </c>
      <c r="E25" s="317">
        <v>1.16209452955444</v>
      </c>
      <c r="F25" s="317">
        <v>1.1611990036798137</v>
      </c>
      <c r="G25" s="77">
        <v>1.5</v>
      </c>
      <c r="H25" s="77">
        <v>1.9616406641518536</v>
      </c>
      <c r="I25" s="77">
        <v>2.0612534224785151</v>
      </c>
    </row>
    <row r="26" spans="1:18" x14ac:dyDescent="0.25">
      <c r="A26" s="433" t="s">
        <v>289</v>
      </c>
      <c r="B26" s="434" t="s">
        <v>30</v>
      </c>
      <c r="C26" s="77">
        <v>0</v>
      </c>
      <c r="D26" s="77">
        <v>-1.1000000000000001</v>
      </c>
      <c r="E26" s="317">
        <v>0</v>
      </c>
      <c r="F26" s="317">
        <v>0.61367520521713104</v>
      </c>
      <c r="G26" s="77">
        <v>1.3427655858412444</v>
      </c>
      <c r="H26" s="77">
        <v>1.3427655858412444</v>
      </c>
      <c r="I26" s="77">
        <v>0</v>
      </c>
    </row>
    <row r="27" spans="1:18" x14ac:dyDescent="0.25">
      <c r="A27" s="299" t="s">
        <v>165</v>
      </c>
      <c r="B27" s="299"/>
      <c r="C27" s="890">
        <f>ESA2010_source!J90</f>
        <v>75946.358999999997</v>
      </c>
      <c r="D27" s="890">
        <f>ESA2010_source!K90</f>
        <v>78685.607999999993</v>
      </c>
      <c r="E27" s="890">
        <f>ESA2010_source!L90</f>
        <v>80958.004000000001</v>
      </c>
      <c r="F27" s="890">
        <f>ESA2010_source!M90</f>
        <v>84580.351999999999</v>
      </c>
      <c r="G27" s="890">
        <f>ESA2010_source!N90</f>
        <v>89351</v>
      </c>
      <c r="H27" s="890">
        <f>ESA2010_source!O90</f>
        <v>95073.069000000003</v>
      </c>
      <c r="I27" s="890">
        <f>ESA2010_source!P90</f>
        <v>100729.837</v>
      </c>
    </row>
    <row r="28" spans="1:18" ht="13.5" customHeight="1" x14ac:dyDescent="0.25">
      <c r="A28" s="418" t="s">
        <v>1054</v>
      </c>
      <c r="B28" s="417"/>
      <c r="C28" s="298">
        <v>-0.5</v>
      </c>
      <c r="D28" s="325">
        <v>-0.5</v>
      </c>
      <c r="E28" s="325">
        <v>-0.5</v>
      </c>
      <c r="F28" s="325">
        <v>-0.5</v>
      </c>
      <c r="G28" s="325">
        <v>-0.5</v>
      </c>
      <c r="H28" s="325">
        <v>-0.5</v>
      </c>
      <c r="I28" s="325">
        <v>-0.5</v>
      </c>
    </row>
    <row r="29" spans="1:18" ht="13.5" customHeight="1" x14ac:dyDescent="0.25">
      <c r="A29" s="418" t="s">
        <v>1055</v>
      </c>
      <c r="B29" s="417"/>
      <c r="C29" s="298">
        <v>-0.25</v>
      </c>
      <c r="D29" s="325">
        <v>-0.25</v>
      </c>
      <c r="E29" s="325">
        <v>-0.25</v>
      </c>
      <c r="F29" s="325">
        <v>-0.25</v>
      </c>
      <c r="G29" s="325">
        <v>-0.25</v>
      </c>
      <c r="H29" s="325">
        <v>-0.25</v>
      </c>
      <c r="I29" s="325">
        <v>-0.25</v>
      </c>
    </row>
    <row r="30" spans="1:18" ht="13.5" customHeight="1" x14ac:dyDescent="0.25">
      <c r="H30" s="965" t="s">
        <v>21</v>
      </c>
      <c r="I30" s="965"/>
    </row>
    <row r="32" spans="1:18" ht="14.25" thickBot="1" x14ac:dyDescent="0.3">
      <c r="A32" s="461" t="s">
        <v>1559</v>
      </c>
      <c r="B32" s="461"/>
      <c r="C32" s="461"/>
      <c r="D32" s="461"/>
      <c r="E32" s="461"/>
      <c r="F32" s="461"/>
      <c r="G32" s="461"/>
      <c r="H32" s="461"/>
      <c r="I32" s="461"/>
    </row>
    <row r="33" spans="1:24" x14ac:dyDescent="0.25">
      <c r="A33" s="414"/>
      <c r="B33" s="415"/>
      <c r="C33" s="306">
        <f>C4</f>
        <v>2014</v>
      </c>
      <c r="D33" s="306">
        <f>D4</f>
        <v>2015</v>
      </c>
      <c r="E33" s="306">
        <f>E4</f>
        <v>2016</v>
      </c>
      <c r="F33" s="306" t="s">
        <v>881</v>
      </c>
      <c r="G33" s="306">
        <f>G4</f>
        <v>2018</v>
      </c>
      <c r="H33" s="306">
        <f>H4</f>
        <v>2019</v>
      </c>
      <c r="I33" s="306">
        <f>I4</f>
        <v>2020</v>
      </c>
    </row>
    <row r="34" spans="1:24" x14ac:dyDescent="0.25">
      <c r="A34" s="416" t="s">
        <v>480</v>
      </c>
      <c r="B34" s="417" t="s">
        <v>51</v>
      </c>
      <c r="C34" s="884">
        <f>ESA2010_source!J42</f>
        <v>31910.616000000002</v>
      </c>
      <c r="D34" s="884">
        <f>ESA2010_source!K42</f>
        <v>35850.418999999994</v>
      </c>
      <c r="E34" s="884">
        <f>ESA2010_source!L42</f>
        <v>33706.260999999999</v>
      </c>
      <c r="F34" s="884">
        <f>ESA2010_source!M42</f>
        <v>34615.375</v>
      </c>
      <c r="G34" s="884">
        <f>ESA2010_source!N42</f>
        <v>35027.787000000004</v>
      </c>
      <c r="H34" s="884">
        <f>ESA2010_source!O42</f>
        <v>36677.885000000002</v>
      </c>
      <c r="I34" s="884">
        <f>ESA2010_source!P42</f>
        <v>38233.161</v>
      </c>
    </row>
    <row r="35" spans="1:24" x14ac:dyDescent="0.25">
      <c r="A35" s="418" t="s">
        <v>481</v>
      </c>
      <c r="B35" s="417" t="s">
        <v>51</v>
      </c>
      <c r="C35" s="885">
        <f>ESA2010_source!J59</f>
        <v>1443.6010000000001</v>
      </c>
      <c r="D35" s="885">
        <f>ESA2010_source!K59</f>
        <v>1379.4069999999999</v>
      </c>
      <c r="E35" s="885">
        <f>ESA2010_source!L59</f>
        <v>1338.721</v>
      </c>
      <c r="F35" s="885">
        <f>ESA2010_source!M59</f>
        <v>1106.2400000000002</v>
      </c>
      <c r="G35" s="885">
        <f>ESA2010_source!N59</f>
        <v>1137.1390000000001</v>
      </c>
      <c r="H35" s="885">
        <f>ESA2010_source!O59</f>
        <v>1124.4100000000001</v>
      </c>
      <c r="I35" s="885">
        <f>ESA2010_source!P59</f>
        <v>1080.24</v>
      </c>
    </row>
    <row r="36" spans="1:24" x14ac:dyDescent="0.25">
      <c r="A36" s="418" t="s">
        <v>877</v>
      </c>
      <c r="B36" s="417" t="s">
        <v>51</v>
      </c>
      <c r="C36" s="885">
        <f t="shared" ref="C36:I43" si="12">C7</f>
        <v>971</v>
      </c>
      <c r="D36" s="885">
        <f t="shared" si="12"/>
        <v>2345</v>
      </c>
      <c r="E36" s="885">
        <f t="shared" si="12"/>
        <v>506.88200000000001</v>
      </c>
      <c r="F36" s="885">
        <f t="shared" si="12"/>
        <v>651.5</v>
      </c>
      <c r="G36" s="885">
        <f t="shared" si="12"/>
        <v>427.31700000000001</v>
      </c>
      <c r="H36" s="885">
        <f t="shared" si="12"/>
        <v>591.14499999999998</v>
      </c>
      <c r="I36" s="885">
        <f t="shared" si="12"/>
        <v>591.14499999999998</v>
      </c>
    </row>
    <row r="37" spans="1:24" x14ac:dyDescent="0.25">
      <c r="A37" s="418" t="s">
        <v>878</v>
      </c>
      <c r="B37" s="417" t="s">
        <v>51</v>
      </c>
      <c r="C37" s="885">
        <f t="shared" si="12"/>
        <v>1281</v>
      </c>
      <c r="D37" s="885">
        <f t="shared" si="12"/>
        <v>2789</v>
      </c>
      <c r="E37" s="885">
        <f t="shared" si="12"/>
        <v>796.34500000000003</v>
      </c>
      <c r="F37" s="885">
        <f t="shared" si="12"/>
        <v>999.94100000000003</v>
      </c>
      <c r="G37" s="885">
        <f t="shared" si="12"/>
        <v>791.82600000000002</v>
      </c>
      <c r="H37" s="885">
        <f t="shared" si="12"/>
        <v>1375</v>
      </c>
      <c r="I37" s="885">
        <f t="shared" si="12"/>
        <v>1332.694</v>
      </c>
      <c r="L37" s="966" t="s">
        <v>1560</v>
      </c>
      <c r="M37" s="966"/>
      <c r="N37" s="966"/>
      <c r="O37" s="966"/>
      <c r="P37" s="966"/>
      <c r="R37" s="966"/>
      <c r="S37" s="966"/>
      <c r="T37" s="966"/>
      <c r="U37" s="966"/>
      <c r="V37" s="966"/>
      <c r="W37" s="966"/>
      <c r="X37" s="966"/>
    </row>
    <row r="38" spans="1:24" x14ac:dyDescent="0.25">
      <c r="A38" s="418" t="s">
        <v>482</v>
      </c>
      <c r="B38" s="417" t="s">
        <v>51</v>
      </c>
      <c r="C38" s="885">
        <f t="shared" si="12"/>
        <v>2052.41</v>
      </c>
      <c r="D38" s="885">
        <f t="shared" si="12"/>
        <v>2605.6450000000004</v>
      </c>
      <c r="E38" s="885">
        <f t="shared" si="12"/>
        <v>2091.36</v>
      </c>
      <c r="F38" s="885">
        <f t="shared" si="12"/>
        <v>2110.3669999999997</v>
      </c>
      <c r="G38" s="885">
        <f t="shared" si="12"/>
        <v>1981.4610000000002</v>
      </c>
      <c r="H38" s="885">
        <f t="shared" si="12"/>
        <v>1846.7190000000001</v>
      </c>
      <c r="I38" s="885">
        <f t="shared" si="12"/>
        <v>2269.4499999999998</v>
      </c>
    </row>
    <row r="39" spans="1:24" x14ac:dyDescent="0.25">
      <c r="A39" s="418" t="s">
        <v>483</v>
      </c>
      <c r="B39" s="417" t="s">
        <v>51</v>
      </c>
      <c r="C39" s="885">
        <f t="shared" si="12"/>
        <v>1747.7649999999999</v>
      </c>
      <c r="D39" s="885">
        <f t="shared" si="12"/>
        <v>1944.4865</v>
      </c>
      <c r="E39" s="886">
        <f t="shared" si="12"/>
        <v>2061.3737500000002</v>
      </c>
      <c r="F39" s="886">
        <f t="shared" si="12"/>
        <v>2214.9455000000003</v>
      </c>
      <c r="G39" s="885">
        <f t="shared" si="12"/>
        <v>2197.2082500000006</v>
      </c>
      <c r="H39" s="885">
        <f t="shared" si="12"/>
        <v>2007.47675</v>
      </c>
      <c r="I39" s="885">
        <f t="shared" si="12"/>
        <v>2051.9992499999998</v>
      </c>
    </row>
    <row r="40" spans="1:24" x14ac:dyDescent="0.25">
      <c r="A40" s="420" t="s">
        <v>484</v>
      </c>
      <c r="B40" s="417" t="s">
        <v>51</v>
      </c>
      <c r="C40" s="885">
        <f t="shared" si="12"/>
        <v>17.408382699769074</v>
      </c>
      <c r="D40" s="885">
        <f t="shared" si="12"/>
        <v>9.7963379838900941</v>
      </c>
      <c r="E40" s="886">
        <f t="shared" si="12"/>
        <v>5.9620998554370859</v>
      </c>
      <c r="F40" s="886">
        <f t="shared" si="12"/>
        <v>5.6640167413875808</v>
      </c>
      <c r="G40" s="885">
        <f t="shared" si="12"/>
        <v>2.5015770559276929</v>
      </c>
      <c r="H40" s="885">
        <f t="shared" si="12"/>
        <v>-6.7173538624445461</v>
      </c>
      <c r="I40" s="885">
        <f t="shared" si="12"/>
        <v>-10.835860583369183</v>
      </c>
    </row>
    <row r="41" spans="1:24" x14ac:dyDescent="0.25">
      <c r="A41" s="421" t="s">
        <v>485</v>
      </c>
      <c r="B41" s="417" t="s">
        <v>51</v>
      </c>
      <c r="C41" s="885">
        <f t="shared" si="12"/>
        <v>0</v>
      </c>
      <c r="D41" s="885">
        <f t="shared" si="12"/>
        <v>0</v>
      </c>
      <c r="E41" s="886">
        <f t="shared" si="12"/>
        <v>0</v>
      </c>
      <c r="F41" s="886">
        <f t="shared" si="12"/>
        <v>0</v>
      </c>
      <c r="G41" s="885">
        <f t="shared" si="12"/>
        <v>0</v>
      </c>
      <c r="H41" s="885">
        <f t="shared" si="12"/>
        <v>0</v>
      </c>
      <c r="I41" s="885">
        <f t="shared" si="12"/>
        <v>0</v>
      </c>
    </row>
    <row r="42" spans="1:24" x14ac:dyDescent="0.25">
      <c r="A42" s="422" t="s">
        <v>486</v>
      </c>
      <c r="B42" s="423" t="s">
        <v>51</v>
      </c>
      <c r="C42" s="887">
        <f t="shared" si="12"/>
        <v>28863.961617300232</v>
      </c>
      <c r="D42" s="887">
        <f t="shared" si="12"/>
        <v>31011.057162016103</v>
      </c>
      <c r="E42" s="888">
        <f t="shared" si="12"/>
        <v>31535.246650144556</v>
      </c>
      <c r="F42" s="888">
        <f t="shared" si="12"/>
        <v>32608.10848325862</v>
      </c>
      <c r="G42" s="887">
        <f t="shared" si="12"/>
        <v>33312.067672944075</v>
      </c>
      <c r="H42" s="887">
        <f t="shared" si="12"/>
        <v>34345.950103862437</v>
      </c>
      <c r="I42" s="887">
        <f t="shared" si="12"/>
        <v>35613.612110583374</v>
      </c>
    </row>
    <row r="43" spans="1:24" x14ac:dyDescent="0.25">
      <c r="A43" s="421" t="s">
        <v>487</v>
      </c>
      <c r="B43" s="417" t="s">
        <v>51</v>
      </c>
      <c r="C43" s="889">
        <f t="shared" si="12"/>
        <v>559.14608660248632</v>
      </c>
      <c r="D43" s="70">
        <f t="shared" si="12"/>
        <v>2147.0955447158703</v>
      </c>
      <c r="E43" s="70">
        <f t="shared" si="12"/>
        <v>524.18948812845338</v>
      </c>
      <c r="F43" s="70">
        <f t="shared" si="12"/>
        <v>1072.8618331140642</v>
      </c>
      <c r="G43" s="70">
        <f t="shared" si="12"/>
        <v>703.95918968545448</v>
      </c>
      <c r="H43" s="70">
        <f t="shared" si="12"/>
        <v>1033.8824309183619</v>
      </c>
      <c r="I43" s="70">
        <f t="shared" si="12"/>
        <v>1267.6620067209369</v>
      </c>
    </row>
    <row r="44" spans="1:24" x14ac:dyDescent="0.25">
      <c r="A44" s="418" t="s">
        <v>1426</v>
      </c>
      <c r="B44" s="417" t="s">
        <v>51</v>
      </c>
      <c r="C44" s="885">
        <v>-29.897010648782615</v>
      </c>
      <c r="D44" s="885">
        <v>138.58781282743243</v>
      </c>
      <c r="E44" s="886">
        <v>-136.01000000000005</v>
      </c>
      <c r="F44" s="886">
        <v>202.45000000000002</v>
      </c>
      <c r="G44" s="885">
        <v>-29.000000000000014</v>
      </c>
      <c r="H44" s="885">
        <v>13.265000000000008</v>
      </c>
      <c r="I44" s="885">
        <v>0</v>
      </c>
    </row>
    <row r="45" spans="1:24" x14ac:dyDescent="0.25">
      <c r="A45" s="418" t="s">
        <v>1427</v>
      </c>
      <c r="B45" s="417" t="s">
        <v>51</v>
      </c>
      <c r="C45" s="885">
        <v>208.7</v>
      </c>
      <c r="D45" s="885">
        <v>0</v>
      </c>
      <c r="E45" s="885">
        <v>0</v>
      </c>
      <c r="F45" s="885">
        <v>0</v>
      </c>
      <c r="G45" s="885">
        <v>0</v>
      </c>
      <c r="H45" s="885">
        <v>0</v>
      </c>
      <c r="I45" s="885">
        <v>0</v>
      </c>
    </row>
    <row r="46" spans="1:24" x14ac:dyDescent="0.25">
      <c r="A46" s="418" t="s">
        <v>1428</v>
      </c>
      <c r="B46" s="417" t="s">
        <v>51</v>
      </c>
      <c r="C46" s="298">
        <v>-0.69499729684279998</v>
      </c>
      <c r="D46" s="298">
        <v>0</v>
      </c>
      <c r="E46" s="298">
        <v>-35.159999999999997</v>
      </c>
      <c r="F46" s="298">
        <v>0</v>
      </c>
      <c r="G46" s="298">
        <v>0</v>
      </c>
      <c r="H46" s="298">
        <v>0</v>
      </c>
      <c r="I46" s="298">
        <v>0</v>
      </c>
    </row>
    <row r="47" spans="1:24" x14ac:dyDescent="0.25">
      <c r="A47" s="424" t="s">
        <v>1429</v>
      </c>
      <c r="B47" s="423" t="s">
        <v>51</v>
      </c>
      <c r="C47" s="314">
        <v>0</v>
      </c>
      <c r="D47" s="314">
        <v>0</v>
      </c>
      <c r="E47" s="314">
        <v>-33.5</v>
      </c>
      <c r="F47" s="314">
        <v>0</v>
      </c>
      <c r="G47" s="314">
        <v>0</v>
      </c>
      <c r="H47" s="314">
        <v>0</v>
      </c>
      <c r="I47" s="314">
        <v>0</v>
      </c>
    </row>
    <row r="48" spans="1:24" x14ac:dyDescent="0.25">
      <c r="A48" s="435" t="s">
        <v>488</v>
      </c>
      <c r="B48" s="436" t="s">
        <v>30</v>
      </c>
      <c r="C48" s="300">
        <v>2.8159452199573405</v>
      </c>
      <c r="D48" s="315">
        <f t="shared" ref="D48" si="13">(D43-D44+D45+D46+D47)/C42*100</f>
        <v>6.9585310516924892</v>
      </c>
      <c r="E48" s="315">
        <f t="shared" ref="E48" si="14">(E43-E44+E45+E46+E47)/D42*100</f>
        <v>1.9075115209326068</v>
      </c>
      <c r="F48" s="315">
        <f t="shared" ref="F48" si="15">(F43-F44+F45+F46+F47)/E42*100</f>
        <v>2.760123752227174</v>
      </c>
      <c r="G48" s="315">
        <f t="shared" ref="G48" si="16">(G43-G44+G45+G46+G47)/F42*100</f>
        <v>2.2477819897519176</v>
      </c>
      <c r="H48" s="315">
        <f t="shared" ref="H48" si="17">(H43-H44+H45+H46+H47)/G42*100</f>
        <v>3.0638069090718836</v>
      </c>
      <c r="I48" s="315">
        <f t="shared" ref="I48" si="18">(I43-I44+I45+I46+I47)/H42*100</f>
        <v>3.6908631232722242</v>
      </c>
    </row>
    <row r="49" spans="1:9" x14ac:dyDescent="0.25">
      <c r="A49" s="437" t="s">
        <v>489</v>
      </c>
      <c r="B49" s="438" t="s">
        <v>30</v>
      </c>
      <c r="C49" s="301">
        <f>C20</f>
        <v>0.91072773726512679</v>
      </c>
      <c r="D49" s="316">
        <f t="shared" ref="D49:I49" si="19">(((1+D48/100)/(1+D54/100))-1)*100</f>
        <v>6.2125108845955346</v>
      </c>
      <c r="E49" s="316">
        <f t="shared" si="19"/>
        <v>0.73685405076342469</v>
      </c>
      <c r="F49" s="316">
        <f t="shared" si="19"/>
        <v>1.5805711718474225</v>
      </c>
      <c r="G49" s="316">
        <f t="shared" si="19"/>
        <v>0.73673102438611693</v>
      </c>
      <c r="H49" s="316">
        <f t="shared" si="19"/>
        <v>1.0809616614060102</v>
      </c>
      <c r="I49" s="316">
        <f t="shared" si="19"/>
        <v>1.5966977145068117</v>
      </c>
    </row>
    <row r="50" spans="1:9" x14ac:dyDescent="0.25">
      <c r="A50" s="421" t="s">
        <v>490</v>
      </c>
      <c r="B50" s="417" t="s">
        <v>79</v>
      </c>
      <c r="C50" s="72">
        <f>C21</f>
        <v>4.0667768292251738</v>
      </c>
      <c r="D50" s="72">
        <f t="shared" ref="D50:I50" si="20">D21</f>
        <v>2.9279065204139698</v>
      </c>
      <c r="E50" s="72">
        <f t="shared" si="20"/>
        <v>2.2161125774069674</v>
      </c>
      <c r="F50" s="72">
        <f t="shared" si="20"/>
        <v>1.3480051001340336</v>
      </c>
      <c r="G50" s="72">
        <f t="shared" si="20"/>
        <v>1.3480051001340336</v>
      </c>
      <c r="H50" s="72">
        <f t="shared" si="20"/>
        <v>2.6049092470555451</v>
      </c>
      <c r="I50" s="72">
        <f t="shared" si="20"/>
        <v>2.6049092470555451</v>
      </c>
    </row>
    <row r="51" spans="1:9" ht="15" customHeight="1" x14ac:dyDescent="0.25">
      <c r="A51" s="439" t="s">
        <v>491</v>
      </c>
      <c r="B51" s="423" t="s">
        <v>79</v>
      </c>
      <c r="C51" s="316">
        <f t="shared" ref="C51:I51" si="21">C50-C49</f>
        <v>3.156049091960047</v>
      </c>
      <c r="D51" s="316">
        <f t="shared" si="21"/>
        <v>-3.2846043641815648</v>
      </c>
      <c r="E51" s="316">
        <f t="shared" si="21"/>
        <v>1.4792585266435427</v>
      </c>
      <c r="F51" s="316">
        <f t="shared" si="21"/>
        <v>-0.23256607171338883</v>
      </c>
      <c r="G51" s="316">
        <f t="shared" si="21"/>
        <v>0.6112740757479167</v>
      </c>
      <c r="H51" s="316">
        <f t="shared" si="21"/>
        <v>1.5239475856495348</v>
      </c>
      <c r="I51" s="316">
        <f t="shared" si="21"/>
        <v>1.0082115325487333</v>
      </c>
    </row>
    <row r="52" spans="1:9" x14ac:dyDescent="0.25">
      <c r="A52" s="428" t="s">
        <v>879</v>
      </c>
      <c r="B52" s="429" t="s">
        <v>52</v>
      </c>
      <c r="C52" s="75">
        <v>1.176243187033565</v>
      </c>
      <c r="D52" s="75">
        <f>(D51/100*C42)/D56*100</f>
        <v>-1.204879732209142</v>
      </c>
      <c r="E52" s="75">
        <f t="shared" ref="E52:I52" si="22">(E51/100*D42)/E56*100</f>
        <v>0.56663169125492052</v>
      </c>
      <c r="F52" s="75">
        <f t="shared" si="22"/>
        <v>-8.6710781647455479E-2</v>
      </c>
      <c r="G52" s="75">
        <f t="shared" si="22"/>
        <v>0.22308078672865123</v>
      </c>
      <c r="H52" s="75">
        <f t="shared" si="22"/>
        <v>0.5339666178565986</v>
      </c>
      <c r="I52" s="75">
        <f t="shared" si="22"/>
        <v>0.34377086295749165</v>
      </c>
    </row>
    <row r="53" spans="1:9" ht="14.25" thickBot="1" x14ac:dyDescent="0.3">
      <c r="A53" s="430" t="s">
        <v>880</v>
      </c>
      <c r="B53" s="431" t="s">
        <v>52</v>
      </c>
      <c r="C53" s="307"/>
      <c r="D53" s="307">
        <f t="shared" ref="D53" si="23">(C52+D52)/2</f>
        <v>-1.4318272587788505E-2</v>
      </c>
      <c r="E53" s="307">
        <f t="shared" ref="E53" si="24">(D52+E52)/2</f>
        <v>-0.31912402047711075</v>
      </c>
      <c r="F53" s="307">
        <f t="shared" ref="F53" si="25">(E52+F52)/2</f>
        <v>0.23996045480373251</v>
      </c>
      <c r="G53" s="307">
        <f t="shared" ref="G53" si="26">(F52+G52)/2</f>
        <v>6.8185002540597867E-2</v>
      </c>
      <c r="H53" s="307">
        <f t="shared" ref="H53" si="27">(G52+H52)/2</f>
        <v>0.37852370229262489</v>
      </c>
      <c r="I53" s="307">
        <f t="shared" ref="I53" si="28">(H52+I52)/2</f>
        <v>0.43886874040704515</v>
      </c>
    </row>
    <row r="54" spans="1:9" x14ac:dyDescent="0.25">
      <c r="A54" s="433" t="s">
        <v>492</v>
      </c>
      <c r="B54" s="434" t="s">
        <v>30</v>
      </c>
      <c r="C54" s="304">
        <f t="shared" ref="C54:I55" si="29">C25</f>
        <v>1.8880227359500346</v>
      </c>
      <c r="D54" s="304">
        <f t="shared" si="29"/>
        <v>0.70238445629776658</v>
      </c>
      <c r="E54" s="305">
        <f t="shared" si="29"/>
        <v>1.16209452955444</v>
      </c>
      <c r="F54" s="305">
        <f t="shared" si="29"/>
        <v>1.1611990036798137</v>
      </c>
      <c r="G54" s="304">
        <f t="shared" si="29"/>
        <v>1.5</v>
      </c>
      <c r="H54" s="304">
        <f t="shared" si="29"/>
        <v>1.9616406641518536</v>
      </c>
      <c r="I54" s="304">
        <f t="shared" si="29"/>
        <v>2.0612534224785151</v>
      </c>
    </row>
    <row r="55" spans="1:9" x14ac:dyDescent="0.25">
      <c r="A55" s="433" t="s">
        <v>493</v>
      </c>
      <c r="B55" s="434" t="s">
        <v>30</v>
      </c>
      <c r="C55" s="304">
        <f t="shared" si="29"/>
        <v>0</v>
      </c>
      <c r="D55" s="304">
        <f t="shared" si="29"/>
        <v>-1.1000000000000001</v>
      </c>
      <c r="E55" s="305">
        <f t="shared" si="29"/>
        <v>0</v>
      </c>
      <c r="F55" s="305">
        <f t="shared" si="29"/>
        <v>0.61367520521713104</v>
      </c>
      <c r="G55" s="304">
        <f t="shared" si="29"/>
        <v>1.3427655858412444</v>
      </c>
      <c r="H55" s="304">
        <f t="shared" si="29"/>
        <v>1.3427655858412444</v>
      </c>
      <c r="I55" s="304">
        <f t="shared" si="29"/>
        <v>0</v>
      </c>
    </row>
    <row r="56" spans="1:9" x14ac:dyDescent="0.25">
      <c r="A56" s="299" t="s">
        <v>494</v>
      </c>
      <c r="B56" s="299"/>
      <c r="C56" s="890">
        <f>ESA2010_source!J90</f>
        <v>75946.358999999997</v>
      </c>
      <c r="D56" s="890">
        <f>ESA2010_source!K90</f>
        <v>78685.607999999993</v>
      </c>
      <c r="E56" s="890">
        <f>ESA2010_source!L90</f>
        <v>80958.004000000001</v>
      </c>
      <c r="F56" s="890">
        <f>ESA2010_source!M90</f>
        <v>84580.351999999999</v>
      </c>
      <c r="G56" s="890">
        <f>ESA2010_source!N90</f>
        <v>89351</v>
      </c>
      <c r="H56" s="890">
        <f>ESA2010_source!O90</f>
        <v>95073.069000000003</v>
      </c>
      <c r="I56" s="890">
        <f>ESA2010_source!P90</f>
        <v>100729.837</v>
      </c>
    </row>
    <row r="57" spans="1:9" ht="14.25" customHeight="1" x14ac:dyDescent="0.25">
      <c r="A57" s="418" t="s">
        <v>1056</v>
      </c>
      <c r="B57" s="417"/>
      <c r="C57" s="298">
        <v>-0.5</v>
      </c>
      <c r="D57" s="325">
        <v>-0.5</v>
      </c>
      <c r="E57" s="325">
        <v>-0.5</v>
      </c>
      <c r="F57" s="325">
        <v>-0.5</v>
      </c>
      <c r="G57" s="325">
        <v>-0.5</v>
      </c>
      <c r="H57" s="325">
        <v>-0.5</v>
      </c>
      <c r="I57" s="325">
        <v>-0.5</v>
      </c>
    </row>
    <row r="58" spans="1:9" x14ac:dyDescent="0.25">
      <c r="A58" s="418" t="s">
        <v>1057</v>
      </c>
      <c r="B58" s="417"/>
      <c r="C58" s="298">
        <v>-0.25</v>
      </c>
      <c r="D58" s="325">
        <v>-0.25</v>
      </c>
      <c r="E58" s="325">
        <v>-0.25</v>
      </c>
      <c r="F58" s="325">
        <v>-0.25</v>
      </c>
      <c r="G58" s="325">
        <v>-0.25</v>
      </c>
      <c r="H58" s="325">
        <v>-0.25</v>
      </c>
      <c r="I58" s="325">
        <v>-0.25</v>
      </c>
    </row>
    <row r="59" spans="1:9" x14ac:dyDescent="0.25">
      <c r="H59" s="965" t="s">
        <v>345</v>
      </c>
      <c r="I59" s="965"/>
    </row>
  </sheetData>
  <mergeCells count="7">
    <mergeCell ref="H59:I59"/>
    <mergeCell ref="L37:P37"/>
    <mergeCell ref="R37:X37"/>
    <mergeCell ref="L3:P3"/>
    <mergeCell ref="R3:X3"/>
    <mergeCell ref="A3:I3"/>
    <mergeCell ref="H30:I30"/>
  </mergeCells>
  <conditionalFormatting sqref="M20 O20 J20:K20 D23:I23">
    <cfRule type="cellIs" dxfId="20" priority="46" operator="between">
      <formula>-0.0000001</formula>
      <formula>-0.5</formula>
    </cfRule>
    <cfRule type="cellIs" dxfId="19" priority="47" operator="lessThan">
      <formula>-0.5000001</formula>
    </cfRule>
    <cfRule type="cellIs" dxfId="18" priority="48" operator="greaterThan">
      <formula>0</formula>
    </cfRule>
  </conditionalFormatting>
  <conditionalFormatting sqref="D24 F24:I24">
    <cfRule type="cellIs" dxfId="17" priority="40" operator="between">
      <formula>-0.0000001</formula>
      <formula>-0.5</formula>
    </cfRule>
    <cfRule type="cellIs" dxfId="16" priority="41" operator="lessThan">
      <formula>-0.5000001</formula>
    </cfRule>
    <cfRule type="cellIs" dxfId="15" priority="42" operator="greaterThan">
      <formula>0</formula>
    </cfRule>
  </conditionalFormatting>
  <conditionalFormatting sqref="E24">
    <cfRule type="cellIs" dxfId="14" priority="34" operator="between">
      <formula>-0.00001</formula>
      <formula>-0.25</formula>
    </cfRule>
    <cfRule type="cellIs" dxfId="13" priority="35" operator="lessThan">
      <formula>-0.25000001</formula>
    </cfRule>
    <cfRule type="cellIs" dxfId="12" priority="36" operator="greaterThan">
      <formula>0</formula>
    </cfRule>
  </conditionalFormatting>
  <conditionalFormatting sqref="C23">
    <cfRule type="cellIs" dxfId="11" priority="10" operator="between">
      <formula>-0.0000001</formula>
      <formula>-0.5</formula>
    </cfRule>
    <cfRule type="cellIs" dxfId="10" priority="11" operator="lessThan">
      <formula>-0.5000001</formula>
    </cfRule>
    <cfRule type="cellIs" dxfId="9" priority="12" operator="greaterThan">
      <formula>0</formula>
    </cfRule>
  </conditionalFormatting>
  <conditionalFormatting sqref="C52">
    <cfRule type="cellIs" dxfId="8" priority="1" operator="between">
      <formula>-0.0000001</formula>
      <formula>-0.5</formula>
    </cfRule>
    <cfRule type="cellIs" dxfId="7" priority="2" operator="lessThan">
      <formula>-0.5000001</formula>
    </cfRule>
    <cfRule type="cellIs" dxfId="6" priority="3" operator="greaterThan">
      <formula>0</formula>
    </cfRule>
  </conditionalFormatting>
  <conditionalFormatting sqref="D52:I52">
    <cfRule type="cellIs" dxfId="5" priority="7" operator="between">
      <formula>-0.0000001</formula>
      <formula>-0.5</formula>
    </cfRule>
    <cfRule type="cellIs" dxfId="4" priority="8" operator="lessThan">
      <formula>-0.5000001</formula>
    </cfRule>
    <cfRule type="cellIs" dxfId="3" priority="9" operator="greaterThan">
      <formula>0</formula>
    </cfRule>
  </conditionalFormatting>
  <conditionalFormatting sqref="D53:I53">
    <cfRule type="cellIs" dxfId="2" priority="4" operator="between">
      <formula>-0.0000001</formula>
      <formula>-0.5</formula>
    </cfRule>
    <cfRule type="cellIs" dxfId="1" priority="5" operator="lessThan">
      <formula>-0.5000001</formula>
    </cfRule>
    <cfRule type="cellIs" dxfId="0" priority="6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3:G28"/>
  <sheetViews>
    <sheetView showGridLines="0" zoomScale="85" zoomScaleNormal="85" workbookViewId="0">
      <selection activeCell="E11" sqref="E11"/>
    </sheetView>
  </sheetViews>
  <sheetFormatPr defaultRowHeight="13.5" x14ac:dyDescent="0.25"/>
  <cols>
    <col min="1" max="1" width="30" style="40" bestFit="1" customWidth="1"/>
    <col min="2" max="16384" width="9.140625" style="40"/>
  </cols>
  <sheetData>
    <row r="3" spans="1:7" x14ac:dyDescent="0.25">
      <c r="A3" s="120"/>
    </row>
    <row r="4" spans="1:7" ht="14.25" thickBot="1" x14ac:dyDescent="0.3">
      <c r="A4" s="897" t="s">
        <v>1606</v>
      </c>
      <c r="B4" s="897"/>
      <c r="C4" s="897"/>
      <c r="D4" s="897"/>
      <c r="E4" s="897"/>
      <c r="F4" s="897"/>
      <c r="G4" s="897"/>
    </row>
    <row r="5" spans="1:7" ht="14.25" thickBot="1" x14ac:dyDescent="0.3">
      <c r="A5" s="18"/>
      <c r="B5" s="12">
        <v>2015</v>
      </c>
      <c r="C5" s="12">
        <v>2016</v>
      </c>
      <c r="D5" s="12">
        <v>2017</v>
      </c>
      <c r="E5" s="12">
        <v>2018</v>
      </c>
      <c r="F5" s="12">
        <v>2019</v>
      </c>
      <c r="G5" s="12">
        <v>2020</v>
      </c>
    </row>
    <row r="6" spans="1:7" x14ac:dyDescent="0.25">
      <c r="A6" s="16" t="s">
        <v>82</v>
      </c>
      <c r="B6" s="38">
        <v>52.480982290941959</v>
      </c>
      <c r="C6" s="38">
        <v>51.944515578719063</v>
      </c>
      <c r="D6" s="38">
        <v>51.753576813312797</v>
      </c>
      <c r="E6" s="38">
        <v>49.936921613254334</v>
      </c>
      <c r="F6" s="38">
        <v>47.993310076994348</v>
      </c>
      <c r="G6" s="38">
        <v>45.978313115681118</v>
      </c>
    </row>
    <row r="7" spans="1:7" x14ac:dyDescent="0.25">
      <c r="A7" s="19" t="s">
        <v>83</v>
      </c>
      <c r="B7" s="38">
        <v>47.415432191186774</v>
      </c>
      <c r="C7" s="38">
        <v>47.136354307182565</v>
      </c>
      <c r="D7" s="38">
        <v>47.275084719147365</v>
      </c>
      <c r="E7" s="38">
        <v>45.847649644810431</v>
      </c>
      <c r="F7" s="38">
        <v>44.272923827798941</v>
      </c>
      <c r="G7" s="38">
        <v>42.58025698574496</v>
      </c>
    </row>
    <row r="8" spans="1:7" x14ac:dyDescent="0.25">
      <c r="A8" s="19" t="s">
        <v>84</v>
      </c>
      <c r="B8" s="38">
        <v>2.3900684538613159</v>
      </c>
      <c r="C8" s="38">
        <v>2.3229820420683494</v>
      </c>
      <c r="D8" s="38">
        <v>2.2234949862787592</v>
      </c>
      <c r="E8" s="38">
        <v>2.1047776695950535</v>
      </c>
      <c r="F8" s="38">
        <v>1.9780994866932227</v>
      </c>
      <c r="G8" s="38">
        <v>1.8670137409309426</v>
      </c>
    </row>
    <row r="9" spans="1:7" x14ac:dyDescent="0.25">
      <c r="A9" s="19" t="s">
        <v>85</v>
      </c>
      <c r="B9" s="38">
        <v>0.83776438507026618</v>
      </c>
      <c r="C9" s="38">
        <v>0.81424932363698099</v>
      </c>
      <c r="D9" s="38">
        <v>0.77937722113240004</v>
      </c>
      <c r="E9" s="38">
        <v>0.73776454696483107</v>
      </c>
      <c r="F9" s="38">
        <v>0.69336143799566452</v>
      </c>
      <c r="G9" s="38">
        <v>0.65442377437424903</v>
      </c>
    </row>
    <row r="10" spans="1:7" ht="14.25" thickBot="1" x14ac:dyDescent="0.3">
      <c r="A10" s="20" t="s">
        <v>86</v>
      </c>
      <c r="B10" s="39">
        <v>1.8377172608236059</v>
      </c>
      <c r="C10" s="39">
        <v>1.6709299058311766</v>
      </c>
      <c r="D10" s="39">
        <v>1.4756198867542794</v>
      </c>
      <c r="E10" s="39">
        <v>1.2467297518840286</v>
      </c>
      <c r="F10" s="39">
        <v>1.0489253245065313</v>
      </c>
      <c r="G10" s="39">
        <v>0.87661861463097568</v>
      </c>
    </row>
    <row r="11" spans="1:7" x14ac:dyDescent="0.25">
      <c r="A11" s="19" t="s">
        <v>87</v>
      </c>
      <c r="B11" s="38">
        <v>-1.1424152441525166</v>
      </c>
      <c r="C11" s="38">
        <v>-0.53646671222289655</v>
      </c>
      <c r="D11" s="38">
        <v>-0.19093876540626553</v>
      </c>
      <c r="E11" s="38">
        <v>-1.816655200058463</v>
      </c>
      <c r="F11" s="38">
        <v>-1.9436115362599864</v>
      </c>
      <c r="G11" s="38">
        <v>-2.0149969613132299</v>
      </c>
    </row>
    <row r="12" spans="1:7" ht="14.25" thickBot="1" x14ac:dyDescent="0.3">
      <c r="A12" s="20" t="s">
        <v>88</v>
      </c>
      <c r="B12" s="39">
        <v>48.214345627220681</v>
      </c>
      <c r="C12" s="39">
        <v>47.004140566509029</v>
      </c>
      <c r="D12" s="39">
        <v>46.852281109816708</v>
      </c>
      <c r="E12" s="39">
        <v>45.090520052349831</v>
      </c>
      <c r="F12" s="39">
        <v>42.690731994583544</v>
      </c>
      <c r="G12" s="39">
        <v>40.516251122907782</v>
      </c>
    </row>
    <row r="13" spans="1:7" x14ac:dyDescent="0.25">
      <c r="A13" s="19" t="s">
        <v>147</v>
      </c>
      <c r="B13" s="38">
        <v>49.253149452010376</v>
      </c>
      <c r="C13" s="38">
        <v>48.80728421301373</v>
      </c>
      <c r="D13" s="38">
        <v>48.750704605901639</v>
      </c>
      <c r="E13" s="38">
        <v>47.09437939669445</v>
      </c>
      <c r="F13" s="38">
        <v>45.321849152305461</v>
      </c>
      <c r="G13" s="38">
        <v>43.456875600375923</v>
      </c>
    </row>
    <row r="14" spans="1:7" ht="14.25" thickBot="1" x14ac:dyDescent="0.3">
      <c r="A14" s="20" t="s">
        <v>146</v>
      </c>
      <c r="B14" s="39">
        <v>3.2278328389315822</v>
      </c>
      <c r="C14" s="39">
        <v>3.1372313657053303</v>
      </c>
      <c r="D14" s="39">
        <v>3.0028722074111593</v>
      </c>
      <c r="E14" s="39">
        <v>2.8425422165598846</v>
      </c>
      <c r="F14" s="39">
        <v>2.671460924688887</v>
      </c>
      <c r="G14" s="39">
        <v>2.5214375153051916</v>
      </c>
    </row>
    <row r="15" spans="1:7" x14ac:dyDescent="0.25">
      <c r="A15" s="19"/>
      <c r="B15" s="650"/>
      <c r="C15" s="38"/>
      <c r="D15" s="38"/>
      <c r="E15" s="38"/>
      <c r="F15" s="967" t="s">
        <v>21</v>
      </c>
      <c r="G15" s="967"/>
    </row>
    <row r="17" spans="1:7" ht="15.75" customHeight="1" thickBot="1" x14ac:dyDescent="0.3">
      <c r="A17" s="897" t="s">
        <v>1059</v>
      </c>
      <c r="B17" s="897"/>
      <c r="C17" s="897"/>
      <c r="D17" s="897"/>
      <c r="E17" s="897"/>
      <c r="F17" s="897"/>
      <c r="G17" s="897"/>
    </row>
    <row r="18" spans="1:7" ht="14.25" thickBot="1" x14ac:dyDescent="0.3">
      <c r="A18" s="18"/>
      <c r="B18" s="12">
        <f t="shared" ref="B18:B25" si="0">B5</f>
        <v>2015</v>
      </c>
      <c r="C18" s="12">
        <f t="shared" ref="C18:G18" si="1">C5</f>
        <v>2016</v>
      </c>
      <c r="D18" s="12">
        <f t="shared" si="1"/>
        <v>2017</v>
      </c>
      <c r="E18" s="12">
        <f t="shared" si="1"/>
        <v>2018</v>
      </c>
      <c r="F18" s="12">
        <f t="shared" si="1"/>
        <v>2019</v>
      </c>
      <c r="G18" s="12">
        <f t="shared" si="1"/>
        <v>2020</v>
      </c>
    </row>
    <row r="19" spans="1:7" x14ac:dyDescent="0.25">
      <c r="A19" s="16" t="s">
        <v>607</v>
      </c>
      <c r="B19" s="38">
        <f t="shared" si="0"/>
        <v>52.480982290941959</v>
      </c>
      <c r="C19" s="38">
        <f t="shared" ref="C19:G23" si="2">C6</f>
        <v>51.944515578719063</v>
      </c>
      <c r="D19" s="38">
        <f t="shared" si="2"/>
        <v>51.753576813312797</v>
      </c>
      <c r="E19" s="38">
        <f t="shared" si="2"/>
        <v>49.936921613254334</v>
      </c>
      <c r="F19" s="38">
        <f t="shared" si="2"/>
        <v>47.993310076994348</v>
      </c>
      <c r="G19" s="38">
        <f t="shared" si="2"/>
        <v>45.978313115681118</v>
      </c>
    </row>
    <row r="20" spans="1:7" x14ac:dyDescent="0.25">
      <c r="A20" s="19" t="s">
        <v>577</v>
      </c>
      <c r="B20" s="38">
        <f t="shared" si="0"/>
        <v>47.415432191186774</v>
      </c>
      <c r="C20" s="38">
        <f t="shared" si="2"/>
        <v>47.136354307182565</v>
      </c>
      <c r="D20" s="38">
        <f t="shared" si="2"/>
        <v>47.275084719147365</v>
      </c>
      <c r="E20" s="38">
        <f t="shared" si="2"/>
        <v>45.847649644810431</v>
      </c>
      <c r="F20" s="38">
        <f t="shared" si="2"/>
        <v>44.272923827798941</v>
      </c>
      <c r="G20" s="38">
        <f t="shared" si="2"/>
        <v>42.58025698574496</v>
      </c>
    </row>
    <row r="21" spans="1:7" x14ac:dyDescent="0.25">
      <c r="A21" s="19" t="s">
        <v>578</v>
      </c>
      <c r="B21" s="38">
        <f t="shared" si="0"/>
        <v>2.3900684538613159</v>
      </c>
      <c r="C21" s="38">
        <f t="shared" si="2"/>
        <v>2.3229820420683494</v>
      </c>
      <c r="D21" s="38">
        <f t="shared" si="2"/>
        <v>2.2234949862787592</v>
      </c>
      <c r="E21" s="38">
        <f t="shared" si="2"/>
        <v>2.1047776695950535</v>
      </c>
      <c r="F21" s="38">
        <f t="shared" si="2"/>
        <v>1.9780994866932227</v>
      </c>
      <c r="G21" s="38">
        <f t="shared" si="2"/>
        <v>1.8670137409309426</v>
      </c>
    </row>
    <row r="22" spans="1:7" x14ac:dyDescent="0.25">
      <c r="A22" s="19" t="s">
        <v>579</v>
      </c>
      <c r="B22" s="38">
        <f t="shared" si="0"/>
        <v>0.83776438507026618</v>
      </c>
      <c r="C22" s="38">
        <f t="shared" si="2"/>
        <v>0.81424932363698099</v>
      </c>
      <c r="D22" s="38">
        <f t="shared" si="2"/>
        <v>0.77937722113240004</v>
      </c>
      <c r="E22" s="38">
        <f t="shared" si="2"/>
        <v>0.73776454696483107</v>
      </c>
      <c r="F22" s="38">
        <f t="shared" si="2"/>
        <v>0.69336143799566452</v>
      </c>
      <c r="G22" s="38">
        <f t="shared" si="2"/>
        <v>0.65442377437424903</v>
      </c>
    </row>
    <row r="23" spans="1:7" ht="14.25" thickBot="1" x14ac:dyDescent="0.3">
      <c r="A23" s="20" t="s">
        <v>580</v>
      </c>
      <c r="B23" s="39">
        <f t="shared" si="0"/>
        <v>1.8377172608236059</v>
      </c>
      <c r="C23" s="39">
        <f t="shared" si="2"/>
        <v>1.6709299058311766</v>
      </c>
      <c r="D23" s="39">
        <f t="shared" si="2"/>
        <v>1.4756198867542794</v>
      </c>
      <c r="E23" s="39">
        <f t="shared" si="2"/>
        <v>1.2467297518840286</v>
      </c>
      <c r="F23" s="39">
        <f t="shared" si="2"/>
        <v>1.0489253245065313</v>
      </c>
      <c r="G23" s="39">
        <f t="shared" si="2"/>
        <v>0.87661861463097568</v>
      </c>
    </row>
    <row r="24" spans="1:7" x14ac:dyDescent="0.25">
      <c r="A24" s="19" t="s">
        <v>581</v>
      </c>
      <c r="B24" s="38">
        <f t="shared" si="0"/>
        <v>-1.1424152441525166</v>
      </c>
      <c r="C24" s="38">
        <f>C19-B19</f>
        <v>-0.53646671222289655</v>
      </c>
      <c r="D24" s="38">
        <f>D19-C19</f>
        <v>-0.19093876540626553</v>
      </c>
      <c r="E24" s="38">
        <f>E19-D19</f>
        <v>-1.816655200058463</v>
      </c>
      <c r="F24" s="38">
        <f>F19-E19</f>
        <v>-1.9436115362599864</v>
      </c>
      <c r="G24" s="38">
        <f>G19-F19</f>
        <v>-2.0149969613132299</v>
      </c>
    </row>
    <row r="25" spans="1:7" ht="15" customHeight="1" thickBot="1" x14ac:dyDescent="0.3">
      <c r="A25" s="20" t="s">
        <v>440</v>
      </c>
      <c r="B25" s="39">
        <f t="shared" si="0"/>
        <v>48.214345627220681</v>
      </c>
      <c r="C25" s="39">
        <f t="shared" ref="C25:G25" si="3">C12</f>
        <v>47.004140566509029</v>
      </c>
      <c r="D25" s="39">
        <f t="shared" si="3"/>
        <v>46.852281109816708</v>
      </c>
      <c r="E25" s="39">
        <f t="shared" si="3"/>
        <v>45.090520052349831</v>
      </c>
      <c r="F25" s="39">
        <f t="shared" si="3"/>
        <v>42.690731994583544</v>
      </c>
      <c r="G25" s="39">
        <f t="shared" si="3"/>
        <v>40.516251122907782</v>
      </c>
    </row>
    <row r="26" spans="1:7" x14ac:dyDescent="0.25">
      <c r="A26" s="19" t="s">
        <v>441</v>
      </c>
      <c r="B26" s="38">
        <f t="shared" ref="B26:G26" si="4">B19-B27</f>
        <v>49.253149452010376</v>
      </c>
      <c r="C26" s="38">
        <f t="shared" si="4"/>
        <v>48.80728421301373</v>
      </c>
      <c r="D26" s="38">
        <f t="shared" si="4"/>
        <v>48.750704605901639</v>
      </c>
      <c r="E26" s="38">
        <f t="shared" si="4"/>
        <v>47.09437939669445</v>
      </c>
      <c r="F26" s="38">
        <f t="shared" si="4"/>
        <v>45.321849152305461</v>
      </c>
      <c r="G26" s="38">
        <f t="shared" si="4"/>
        <v>43.456875600375923</v>
      </c>
    </row>
    <row r="27" spans="1:7" ht="14.25" thickBot="1" x14ac:dyDescent="0.3">
      <c r="A27" s="20" t="s">
        <v>442</v>
      </c>
      <c r="B27" s="39">
        <f t="shared" ref="B27:G27" si="5">B21+B22</f>
        <v>3.2278328389315822</v>
      </c>
      <c r="C27" s="39">
        <f t="shared" si="5"/>
        <v>3.1372313657053303</v>
      </c>
      <c r="D27" s="39">
        <f t="shared" si="5"/>
        <v>3.0028722074111593</v>
      </c>
      <c r="E27" s="39">
        <f t="shared" si="5"/>
        <v>2.8425422165598846</v>
      </c>
      <c r="F27" s="39">
        <f t="shared" si="5"/>
        <v>2.671460924688887</v>
      </c>
      <c r="G27" s="39">
        <f t="shared" si="5"/>
        <v>2.5214375153051916</v>
      </c>
    </row>
    <row r="28" spans="1:7" x14ac:dyDescent="0.25">
      <c r="F28" s="967" t="s">
        <v>345</v>
      </c>
      <c r="G28" s="967"/>
    </row>
  </sheetData>
  <mergeCells count="4">
    <mergeCell ref="F28:G28"/>
    <mergeCell ref="A4:G4"/>
    <mergeCell ref="A17:G17"/>
    <mergeCell ref="F15:G15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3:G52"/>
  <sheetViews>
    <sheetView showGridLines="0" zoomScale="85" zoomScaleNormal="85" workbookViewId="0">
      <selection activeCell="F18" sqref="F18"/>
    </sheetView>
  </sheetViews>
  <sheetFormatPr defaultRowHeight="13.5" x14ac:dyDescent="0.25"/>
  <cols>
    <col min="1" max="1" width="41.5703125" style="40" customWidth="1"/>
    <col min="2" max="5" width="11.85546875" style="40" bestFit="1" customWidth="1"/>
    <col min="6" max="8" width="13.28515625" style="40" bestFit="1" customWidth="1"/>
    <col min="9" max="16384" width="9.140625" style="40"/>
  </cols>
  <sheetData>
    <row r="3" spans="1:7" ht="15.75" customHeight="1" thickBot="1" x14ac:dyDescent="0.3">
      <c r="A3" s="919" t="s">
        <v>1605</v>
      </c>
      <c r="B3" s="919"/>
      <c r="C3" s="919"/>
      <c r="D3" s="919"/>
      <c r="E3" s="919"/>
      <c r="F3" s="919"/>
      <c r="G3" s="919"/>
    </row>
    <row r="4" spans="1:7" ht="14.25" thickBot="1" x14ac:dyDescent="0.3">
      <c r="A4" s="69"/>
      <c r="B4" s="67">
        <v>2015</v>
      </c>
      <c r="C4" s="67">
        <v>2016</v>
      </c>
      <c r="D4" s="67">
        <v>2017</v>
      </c>
      <c r="E4" s="67">
        <v>2018</v>
      </c>
      <c r="F4" s="78">
        <v>2019</v>
      </c>
      <c r="G4" s="78">
        <v>2020</v>
      </c>
    </row>
    <row r="5" spans="1:7" x14ac:dyDescent="0.25">
      <c r="A5" s="21" t="s">
        <v>89</v>
      </c>
      <c r="B5" s="66">
        <v>40725.017999999996</v>
      </c>
      <c r="C5" s="66">
        <v>41294.980000000003</v>
      </c>
      <c r="D5" s="66">
        <v>42053.243000000002</v>
      </c>
      <c r="E5" s="66">
        <v>43773.357637739071</v>
      </c>
      <c r="F5" s="66">
        <v>44619.138806390045</v>
      </c>
      <c r="G5" s="101">
        <v>45628.712918056022</v>
      </c>
    </row>
    <row r="6" spans="1:7" x14ac:dyDescent="0.25">
      <c r="A6" s="22" t="s">
        <v>90</v>
      </c>
      <c r="B6" s="93">
        <f t="shared" ref="B6:G6" si="0">B7+B8+B9+B10+B11+B12+B13+B21</f>
        <v>569.95893129805722</v>
      </c>
      <c r="C6" s="93">
        <f t="shared" si="0"/>
        <v>758.261914801952</v>
      </c>
      <c r="D6" s="93">
        <f t="shared" si="0"/>
        <v>1720.114637739068</v>
      </c>
      <c r="E6" s="93">
        <f t="shared" si="0"/>
        <v>845.7811686509765</v>
      </c>
      <c r="F6" s="93">
        <f t="shared" si="0"/>
        <v>1009.5741116659786</v>
      </c>
      <c r="G6" s="102">
        <f t="shared" si="0"/>
        <v>685.16685325568676</v>
      </c>
    </row>
    <row r="7" spans="1:7" x14ac:dyDescent="0.25">
      <c r="A7" s="23" t="s">
        <v>91</v>
      </c>
      <c r="B7" s="95">
        <v>1932.596</v>
      </c>
      <c r="C7" s="95">
        <v>980.255</v>
      </c>
      <c r="D7" s="95">
        <v>1973.6949999999999</v>
      </c>
      <c r="E7" s="95">
        <v>1557.683</v>
      </c>
      <c r="F7" s="95">
        <v>1126.6400000000001</v>
      </c>
      <c r="G7" s="94">
        <v>1212.1980000000001</v>
      </c>
    </row>
    <row r="8" spans="1:7" ht="26.25" customHeight="1" x14ac:dyDescent="0.25">
      <c r="A8" s="24" t="s">
        <v>92</v>
      </c>
      <c r="B8" s="95">
        <v>-1261.9756430099997</v>
      </c>
      <c r="C8" s="95">
        <v>20.472519840000359</v>
      </c>
      <c r="D8" s="95">
        <v>-294.82582281755458</v>
      </c>
      <c r="E8" s="95">
        <v>-616.65032085396251</v>
      </c>
      <c r="F8" s="95">
        <v>-104.95852475537595</v>
      </c>
      <c r="G8" s="94">
        <v>-382.61859956633543</v>
      </c>
    </row>
    <row r="9" spans="1:7" x14ac:dyDescent="0.25">
      <c r="A9" s="23" t="s">
        <v>93</v>
      </c>
      <c r="B9" s="79">
        <v>-116.36725136194309</v>
      </c>
      <c r="C9" s="79">
        <v>0</v>
      </c>
      <c r="D9" s="79">
        <v>0</v>
      </c>
      <c r="E9" s="79">
        <v>0</v>
      </c>
      <c r="F9" s="79">
        <v>0</v>
      </c>
      <c r="G9" s="103">
        <v>0</v>
      </c>
    </row>
    <row r="10" spans="1:7" x14ac:dyDescent="0.25">
      <c r="A10" s="23" t="s">
        <v>94</v>
      </c>
      <c r="B10" s="95">
        <v>0</v>
      </c>
      <c r="C10" s="95">
        <v>0</v>
      </c>
      <c r="D10" s="95">
        <v>0</v>
      </c>
      <c r="E10" s="95">
        <v>0</v>
      </c>
      <c r="F10" s="95">
        <v>0</v>
      </c>
      <c r="G10" s="94">
        <v>0</v>
      </c>
    </row>
    <row r="11" spans="1:7" x14ac:dyDescent="0.25">
      <c r="A11" s="23" t="s">
        <v>95</v>
      </c>
      <c r="B11" s="43">
        <v>17.647361610000004</v>
      </c>
      <c r="C11" s="43">
        <v>43.726086390000013</v>
      </c>
      <c r="D11" s="43">
        <v>213.96744397670275</v>
      </c>
      <c r="E11" s="43">
        <v>42.891315703298204</v>
      </c>
      <c r="F11" s="43">
        <v>105.84452879106908</v>
      </c>
      <c r="G11" s="104">
        <v>28.163867859865071</v>
      </c>
    </row>
    <row r="12" spans="1:7" x14ac:dyDescent="0.25">
      <c r="A12" s="23" t="s">
        <v>96</v>
      </c>
      <c r="B12" s="43">
        <v>-86.015535939999992</v>
      </c>
      <c r="C12" s="43">
        <v>-61.400103450209656</v>
      </c>
      <c r="D12" s="43">
        <v>-62.814473660000004</v>
      </c>
      <c r="E12" s="43">
        <v>-4.6977326695736652</v>
      </c>
      <c r="F12" s="43">
        <v>-0.97149315242736045</v>
      </c>
      <c r="G12" s="104">
        <v>-59.435426474615817</v>
      </c>
    </row>
    <row r="13" spans="1:7" x14ac:dyDescent="0.25">
      <c r="A13" s="23" t="s">
        <v>97</v>
      </c>
      <c r="B13" s="95">
        <v>24.348000000000035</v>
      </c>
      <c r="C13" s="95">
        <v>-93.267500000000013</v>
      </c>
      <c r="D13" s="95">
        <v>-104.66699999999997</v>
      </c>
      <c r="E13" s="95">
        <v>-134.119</v>
      </c>
      <c r="F13" s="95">
        <v>-116.71999999999998</v>
      </c>
      <c r="G13" s="94">
        <v>-114.229</v>
      </c>
    </row>
    <row r="14" spans="1:7" x14ac:dyDescent="0.25">
      <c r="A14" s="25" t="s">
        <v>98</v>
      </c>
      <c r="B14" s="95">
        <v>0.14799999999999999</v>
      </c>
      <c r="C14" s="95">
        <v>-0.27800000000000002</v>
      </c>
      <c r="D14" s="95">
        <v>0</v>
      </c>
      <c r="E14" s="95">
        <v>0</v>
      </c>
      <c r="F14" s="95">
        <v>0</v>
      </c>
      <c r="G14" s="94">
        <v>0</v>
      </c>
    </row>
    <row r="15" spans="1:7" x14ac:dyDescent="0.25">
      <c r="A15" s="25" t="s">
        <v>169</v>
      </c>
      <c r="B15" s="95">
        <v>-9.4390000000000001</v>
      </c>
      <c r="C15" s="95">
        <v>32.006999999999998</v>
      </c>
      <c r="D15" s="95">
        <v>4.7560000000000002</v>
      </c>
      <c r="E15" s="95">
        <v>7.2189999999999941</v>
      </c>
      <c r="F15" s="95">
        <v>17.948999999999998</v>
      </c>
      <c r="G15" s="94">
        <v>17.948999999999998</v>
      </c>
    </row>
    <row r="16" spans="1:7" x14ac:dyDescent="0.25">
      <c r="A16" s="25" t="s">
        <v>99</v>
      </c>
      <c r="B16" s="95">
        <v>-77.163999999999987</v>
      </c>
      <c r="C16" s="95">
        <v>-40.156999999999996</v>
      </c>
      <c r="D16" s="95">
        <v>-37.177</v>
      </c>
      <c r="E16" s="95">
        <v>-37.177</v>
      </c>
      <c r="F16" s="95">
        <v>-37.177</v>
      </c>
      <c r="G16" s="94">
        <v>-37.177</v>
      </c>
    </row>
    <row r="17" spans="1:7" x14ac:dyDescent="0.25">
      <c r="A17" s="25" t="s">
        <v>100</v>
      </c>
      <c r="B17" s="95">
        <v>0</v>
      </c>
      <c r="C17" s="95">
        <v>0.115</v>
      </c>
      <c r="D17" s="95">
        <v>0</v>
      </c>
      <c r="E17" s="95">
        <v>0</v>
      </c>
      <c r="F17" s="95">
        <v>0</v>
      </c>
      <c r="G17" s="107">
        <v>0</v>
      </c>
    </row>
    <row r="18" spans="1:7" x14ac:dyDescent="0.25">
      <c r="A18" s="25" t="s">
        <v>101</v>
      </c>
      <c r="B18" s="95">
        <v>32.843000000000004</v>
      </c>
      <c r="C18" s="95">
        <v>-23.012</v>
      </c>
      <c r="D18" s="95">
        <v>-2.911999999999999</v>
      </c>
      <c r="E18" s="95">
        <v>-8.18</v>
      </c>
      <c r="F18" s="95">
        <v>-1.8760000000000012</v>
      </c>
      <c r="G18" s="94">
        <v>-2.0830000000000002</v>
      </c>
    </row>
    <row r="19" spans="1:7" x14ac:dyDescent="0.25">
      <c r="A19" s="25" t="s">
        <v>291</v>
      </c>
      <c r="B19" s="95">
        <v>138.14300000000003</v>
      </c>
      <c r="C19" s="95">
        <v>-40.165999999999997</v>
      </c>
      <c r="D19" s="95">
        <v>-70.826999999999984</v>
      </c>
      <c r="E19" s="95">
        <v>-88.227999999999994</v>
      </c>
      <c r="F19" s="95">
        <v>-85.791999999999987</v>
      </c>
      <c r="G19" s="94">
        <v>-83.094000000000008</v>
      </c>
    </row>
    <row r="20" spans="1:7" x14ac:dyDescent="0.25">
      <c r="A20" s="25" t="s">
        <v>290</v>
      </c>
      <c r="B20" s="95">
        <v>5.5729999999999791</v>
      </c>
      <c r="C20" s="95">
        <v>-21.524000000000001</v>
      </c>
      <c r="D20" s="95">
        <v>0</v>
      </c>
      <c r="E20" s="95">
        <v>-5</v>
      </c>
      <c r="F20" s="95">
        <v>-5</v>
      </c>
      <c r="G20" s="94">
        <v>-5</v>
      </c>
    </row>
    <row r="21" spans="1:7" x14ac:dyDescent="0.25">
      <c r="A21" s="23" t="s">
        <v>102</v>
      </c>
      <c r="B21" s="95">
        <v>59.725999999999999</v>
      </c>
      <c r="C21" s="95">
        <v>-131.52408797783872</v>
      </c>
      <c r="D21" s="95">
        <v>-5.240509760080073</v>
      </c>
      <c r="E21" s="95">
        <v>0.67390647121438718</v>
      </c>
      <c r="F21" s="95">
        <v>-0.26039921728702708</v>
      </c>
      <c r="G21" s="94">
        <v>1.0880114367729057</v>
      </c>
    </row>
    <row r="22" spans="1:7" x14ac:dyDescent="0.25">
      <c r="A22" s="21" t="s">
        <v>103</v>
      </c>
      <c r="B22" s="66">
        <f>B5+B6</f>
        <v>41294.976931298057</v>
      </c>
      <c r="C22" s="66">
        <f t="shared" ref="C22:G22" si="1">C5+C6</f>
        <v>42053.241914801954</v>
      </c>
      <c r="D22" s="66">
        <f t="shared" si="1"/>
        <v>43773.357637739071</v>
      </c>
      <c r="E22" s="66">
        <f t="shared" si="1"/>
        <v>44619.138806390045</v>
      </c>
      <c r="F22" s="66">
        <f t="shared" si="1"/>
        <v>45628.712918056022</v>
      </c>
      <c r="G22" s="105">
        <f t="shared" si="1"/>
        <v>46313.879771311709</v>
      </c>
    </row>
    <row r="23" spans="1:7" ht="14.25" thickBot="1" x14ac:dyDescent="0.3">
      <c r="A23" s="26" t="s">
        <v>53</v>
      </c>
      <c r="B23" s="42">
        <f>B22/B26*100</f>
        <v>52.480978390988689</v>
      </c>
      <c r="C23" s="42">
        <f t="shared" ref="C23:G23" si="2">C22/C26*100</f>
        <v>51.944514238273406</v>
      </c>
      <c r="D23" s="42">
        <f t="shared" si="2"/>
        <v>51.753576813312797</v>
      </c>
      <c r="E23" s="42">
        <f t="shared" si="2"/>
        <v>49.936921613254334</v>
      </c>
      <c r="F23" s="42">
        <f t="shared" si="2"/>
        <v>47.993310076994348</v>
      </c>
      <c r="G23" s="106">
        <f t="shared" si="2"/>
        <v>45.978313115681111</v>
      </c>
    </row>
    <row r="24" spans="1:7" x14ac:dyDescent="0.25">
      <c r="A24" s="968" t="s">
        <v>104</v>
      </c>
      <c r="B24" s="968"/>
      <c r="C24" s="968"/>
      <c r="D24" s="968"/>
      <c r="E24" s="968"/>
      <c r="F24" s="968"/>
      <c r="G24" s="80" t="s">
        <v>21</v>
      </c>
    </row>
    <row r="25" spans="1:7" ht="14.25" thickBot="1" x14ac:dyDescent="0.3"/>
    <row r="26" spans="1:7" ht="14.25" thickBot="1" x14ac:dyDescent="0.3">
      <c r="A26" s="126" t="s">
        <v>108</v>
      </c>
      <c r="B26" s="127">
        <v>78685.607999999993</v>
      </c>
      <c r="C26" s="127">
        <v>80958.004000000001</v>
      </c>
      <c r="D26" s="127">
        <v>84580.35237958483</v>
      </c>
      <c r="E26" s="127">
        <v>89350.999951401012</v>
      </c>
      <c r="F26" s="127">
        <v>95073.069235806266</v>
      </c>
      <c r="G26" s="128">
        <v>100729.83681412216</v>
      </c>
    </row>
    <row r="28" spans="1:7" ht="15.75" customHeight="1" x14ac:dyDescent="0.25"/>
    <row r="29" spans="1:7" ht="14.25" thickBot="1" x14ac:dyDescent="0.3">
      <c r="A29" s="919" t="s">
        <v>1060</v>
      </c>
      <c r="B29" s="919"/>
      <c r="C29" s="919"/>
      <c r="D29" s="919"/>
      <c r="E29" s="919"/>
      <c r="F29" s="919"/>
      <c r="G29" s="919"/>
    </row>
    <row r="30" spans="1:7" ht="14.25" thickBot="1" x14ac:dyDescent="0.3">
      <c r="A30" s="69"/>
      <c r="B30" s="67">
        <f t="shared" ref="B30:G39" si="3">B4</f>
        <v>2015</v>
      </c>
      <c r="C30" s="67">
        <f t="shared" si="3"/>
        <v>2016</v>
      </c>
      <c r="D30" s="67">
        <f t="shared" si="3"/>
        <v>2017</v>
      </c>
      <c r="E30" s="67">
        <f t="shared" si="3"/>
        <v>2018</v>
      </c>
      <c r="F30" s="78">
        <f t="shared" si="3"/>
        <v>2019</v>
      </c>
      <c r="G30" s="78">
        <f t="shared" si="3"/>
        <v>2020</v>
      </c>
    </row>
    <row r="31" spans="1:7" x14ac:dyDescent="0.25">
      <c r="A31" s="21" t="s">
        <v>506</v>
      </c>
      <c r="B31" s="66">
        <f t="shared" si="3"/>
        <v>40725.017999999996</v>
      </c>
      <c r="C31" s="66">
        <f t="shared" si="3"/>
        <v>41294.980000000003</v>
      </c>
      <c r="D31" s="66">
        <f t="shared" si="3"/>
        <v>42053.243000000002</v>
      </c>
      <c r="E31" s="66">
        <f t="shared" si="3"/>
        <v>43773.357637739071</v>
      </c>
      <c r="F31" s="66">
        <f t="shared" si="3"/>
        <v>44619.138806390045</v>
      </c>
      <c r="G31" s="101">
        <f t="shared" si="3"/>
        <v>45628.712918056022</v>
      </c>
    </row>
    <row r="32" spans="1:7" x14ac:dyDescent="0.25">
      <c r="A32" s="22" t="s">
        <v>498</v>
      </c>
      <c r="B32" s="93">
        <f t="shared" si="3"/>
        <v>569.95893129805722</v>
      </c>
      <c r="C32" s="93">
        <f t="shared" si="3"/>
        <v>758.261914801952</v>
      </c>
      <c r="D32" s="93">
        <f t="shared" si="3"/>
        <v>1720.114637739068</v>
      </c>
      <c r="E32" s="93">
        <f t="shared" si="3"/>
        <v>845.7811686509765</v>
      </c>
      <c r="F32" s="93">
        <f t="shared" si="3"/>
        <v>1009.5741116659786</v>
      </c>
      <c r="G32" s="102">
        <f t="shared" si="3"/>
        <v>685.16685325568676</v>
      </c>
    </row>
    <row r="33" spans="1:7" x14ac:dyDescent="0.25">
      <c r="A33" s="23" t="s">
        <v>582</v>
      </c>
      <c r="B33" s="95">
        <f t="shared" si="3"/>
        <v>1932.596</v>
      </c>
      <c r="C33" s="95">
        <f t="shared" si="3"/>
        <v>980.255</v>
      </c>
      <c r="D33" s="95">
        <f t="shared" si="3"/>
        <v>1973.6949999999999</v>
      </c>
      <c r="E33" s="95">
        <f t="shared" si="3"/>
        <v>1557.683</v>
      </c>
      <c r="F33" s="95">
        <f t="shared" si="3"/>
        <v>1126.6400000000001</v>
      </c>
      <c r="G33" s="94">
        <f t="shared" si="3"/>
        <v>1212.1980000000001</v>
      </c>
    </row>
    <row r="34" spans="1:7" x14ac:dyDescent="0.25">
      <c r="A34" s="24" t="s">
        <v>583</v>
      </c>
      <c r="B34" s="95">
        <f t="shared" si="3"/>
        <v>-1261.9756430099997</v>
      </c>
      <c r="C34" s="95">
        <f t="shared" si="3"/>
        <v>20.472519840000359</v>
      </c>
      <c r="D34" s="95">
        <f t="shared" si="3"/>
        <v>-294.82582281755458</v>
      </c>
      <c r="E34" s="95">
        <f t="shared" si="3"/>
        <v>-616.65032085396251</v>
      </c>
      <c r="F34" s="95">
        <f t="shared" si="3"/>
        <v>-104.95852475537595</v>
      </c>
      <c r="G34" s="94">
        <f t="shared" si="3"/>
        <v>-382.61859956633543</v>
      </c>
    </row>
    <row r="35" spans="1:7" x14ac:dyDescent="0.25">
      <c r="A35" s="23" t="s">
        <v>578</v>
      </c>
      <c r="B35" s="79">
        <f t="shared" si="3"/>
        <v>-116.36725136194309</v>
      </c>
      <c r="C35" s="79">
        <f t="shared" si="3"/>
        <v>0</v>
      </c>
      <c r="D35" s="79">
        <f t="shared" si="3"/>
        <v>0</v>
      </c>
      <c r="E35" s="79">
        <f t="shared" si="3"/>
        <v>0</v>
      </c>
      <c r="F35" s="79">
        <f t="shared" si="3"/>
        <v>0</v>
      </c>
      <c r="G35" s="103">
        <f t="shared" si="3"/>
        <v>0</v>
      </c>
    </row>
    <row r="36" spans="1:7" x14ac:dyDescent="0.25">
      <c r="A36" s="23" t="s">
        <v>584</v>
      </c>
      <c r="B36" s="95">
        <f t="shared" si="3"/>
        <v>0</v>
      </c>
      <c r="C36" s="95">
        <f t="shared" si="3"/>
        <v>0</v>
      </c>
      <c r="D36" s="95">
        <f t="shared" si="3"/>
        <v>0</v>
      </c>
      <c r="E36" s="95">
        <f t="shared" si="3"/>
        <v>0</v>
      </c>
      <c r="F36" s="95">
        <f t="shared" si="3"/>
        <v>0</v>
      </c>
      <c r="G36" s="94">
        <f t="shared" si="3"/>
        <v>0</v>
      </c>
    </row>
    <row r="37" spans="1:7" x14ac:dyDescent="0.25">
      <c r="A37" s="23" t="s">
        <v>585</v>
      </c>
      <c r="B37" s="43">
        <f t="shared" si="3"/>
        <v>17.647361610000004</v>
      </c>
      <c r="C37" s="43">
        <f t="shared" si="3"/>
        <v>43.726086390000013</v>
      </c>
      <c r="D37" s="43">
        <f t="shared" si="3"/>
        <v>213.96744397670275</v>
      </c>
      <c r="E37" s="43">
        <f t="shared" si="3"/>
        <v>42.891315703298204</v>
      </c>
      <c r="F37" s="43">
        <f t="shared" si="3"/>
        <v>105.84452879106908</v>
      </c>
      <c r="G37" s="104">
        <f t="shared" si="3"/>
        <v>28.163867859865071</v>
      </c>
    </row>
    <row r="38" spans="1:7" x14ac:dyDescent="0.25">
      <c r="A38" s="23" t="s">
        <v>499</v>
      </c>
      <c r="B38" s="43">
        <f t="shared" si="3"/>
        <v>-86.015535939999992</v>
      </c>
      <c r="C38" s="43">
        <f t="shared" si="3"/>
        <v>-61.400103450209656</v>
      </c>
      <c r="D38" s="43">
        <f t="shared" si="3"/>
        <v>-62.814473660000004</v>
      </c>
      <c r="E38" s="43">
        <f t="shared" si="3"/>
        <v>-4.6977326695736652</v>
      </c>
      <c r="F38" s="43">
        <f t="shared" si="3"/>
        <v>-0.97149315242736045</v>
      </c>
      <c r="G38" s="104">
        <f t="shared" si="3"/>
        <v>-59.435426474615817</v>
      </c>
    </row>
    <row r="39" spans="1:7" x14ac:dyDescent="0.25">
      <c r="A39" s="23" t="s">
        <v>586</v>
      </c>
      <c r="B39" s="95">
        <f t="shared" si="3"/>
        <v>24.348000000000035</v>
      </c>
      <c r="C39" s="95">
        <f t="shared" si="3"/>
        <v>-93.267500000000013</v>
      </c>
      <c r="D39" s="95">
        <f t="shared" si="3"/>
        <v>-104.66699999999997</v>
      </c>
      <c r="E39" s="95">
        <f t="shared" si="3"/>
        <v>-134.119</v>
      </c>
      <c r="F39" s="95">
        <f t="shared" si="3"/>
        <v>-116.71999999999998</v>
      </c>
      <c r="G39" s="94">
        <f t="shared" si="3"/>
        <v>-114.229</v>
      </c>
    </row>
    <row r="40" spans="1:7" x14ac:dyDescent="0.25">
      <c r="A40" s="25" t="s">
        <v>587</v>
      </c>
      <c r="B40" s="95">
        <f t="shared" ref="B40:G46" si="4">B14</f>
        <v>0.14799999999999999</v>
      </c>
      <c r="C40" s="95">
        <f t="shared" si="4"/>
        <v>-0.27800000000000002</v>
      </c>
      <c r="D40" s="95">
        <f t="shared" si="4"/>
        <v>0</v>
      </c>
      <c r="E40" s="95">
        <f t="shared" si="4"/>
        <v>0</v>
      </c>
      <c r="F40" s="95">
        <f t="shared" si="4"/>
        <v>0</v>
      </c>
      <c r="G40" s="94">
        <f t="shared" si="4"/>
        <v>0</v>
      </c>
    </row>
    <row r="41" spans="1:7" x14ac:dyDescent="0.25">
      <c r="A41" s="25" t="s">
        <v>500</v>
      </c>
      <c r="B41" s="95">
        <f t="shared" si="4"/>
        <v>-9.4390000000000001</v>
      </c>
      <c r="C41" s="95">
        <f t="shared" si="4"/>
        <v>32.006999999999998</v>
      </c>
      <c r="D41" s="95">
        <f t="shared" si="4"/>
        <v>4.7560000000000002</v>
      </c>
      <c r="E41" s="95">
        <f t="shared" si="4"/>
        <v>7.2189999999999941</v>
      </c>
      <c r="F41" s="95">
        <f t="shared" si="4"/>
        <v>17.948999999999998</v>
      </c>
      <c r="G41" s="94">
        <f t="shared" si="4"/>
        <v>17.948999999999998</v>
      </c>
    </row>
    <row r="42" spans="1:7" x14ac:dyDescent="0.25">
      <c r="A42" s="25" t="s">
        <v>501</v>
      </c>
      <c r="B42" s="95">
        <f t="shared" si="4"/>
        <v>-77.163999999999987</v>
      </c>
      <c r="C42" s="95">
        <f t="shared" si="4"/>
        <v>-40.156999999999996</v>
      </c>
      <c r="D42" s="95">
        <f t="shared" si="4"/>
        <v>-37.177</v>
      </c>
      <c r="E42" s="95">
        <f t="shared" si="4"/>
        <v>-37.177</v>
      </c>
      <c r="F42" s="95">
        <f t="shared" si="4"/>
        <v>-37.177</v>
      </c>
      <c r="G42" s="94">
        <f t="shared" si="4"/>
        <v>-37.177</v>
      </c>
    </row>
    <row r="43" spans="1:7" x14ac:dyDescent="0.25">
      <c r="A43" s="25" t="s">
        <v>502</v>
      </c>
      <c r="B43" s="95">
        <f t="shared" si="4"/>
        <v>0</v>
      </c>
      <c r="C43" s="95">
        <f t="shared" si="4"/>
        <v>0.115</v>
      </c>
      <c r="D43" s="95">
        <f t="shared" si="4"/>
        <v>0</v>
      </c>
      <c r="E43" s="95">
        <f t="shared" si="4"/>
        <v>0</v>
      </c>
      <c r="F43" s="95">
        <f t="shared" si="4"/>
        <v>0</v>
      </c>
      <c r="G43" s="107">
        <f t="shared" si="4"/>
        <v>0</v>
      </c>
    </row>
    <row r="44" spans="1:7" x14ac:dyDescent="0.25">
      <c r="A44" s="25" t="s">
        <v>588</v>
      </c>
      <c r="B44" s="95">
        <f t="shared" si="4"/>
        <v>32.843000000000004</v>
      </c>
      <c r="C44" s="95">
        <f t="shared" si="4"/>
        <v>-23.012</v>
      </c>
      <c r="D44" s="95">
        <f t="shared" si="4"/>
        <v>-2.911999999999999</v>
      </c>
      <c r="E44" s="95">
        <f t="shared" si="4"/>
        <v>-8.18</v>
      </c>
      <c r="F44" s="95">
        <f t="shared" si="4"/>
        <v>-1.8760000000000012</v>
      </c>
      <c r="G44" s="94">
        <f t="shared" si="4"/>
        <v>-2.0830000000000002</v>
      </c>
    </row>
    <row r="45" spans="1:7" x14ac:dyDescent="0.25">
      <c r="A45" s="25" t="s">
        <v>589</v>
      </c>
      <c r="B45" s="95">
        <f t="shared" si="4"/>
        <v>138.14300000000003</v>
      </c>
      <c r="C45" s="95">
        <f t="shared" si="4"/>
        <v>-40.165999999999997</v>
      </c>
      <c r="D45" s="95">
        <f t="shared" si="4"/>
        <v>-70.826999999999984</v>
      </c>
      <c r="E45" s="95">
        <f t="shared" si="4"/>
        <v>-88.227999999999994</v>
      </c>
      <c r="F45" s="95">
        <f t="shared" si="4"/>
        <v>-85.791999999999987</v>
      </c>
      <c r="G45" s="94">
        <f t="shared" si="4"/>
        <v>-83.094000000000008</v>
      </c>
    </row>
    <row r="46" spans="1:7" x14ac:dyDescent="0.25">
      <c r="A46" s="25" t="s">
        <v>590</v>
      </c>
      <c r="B46" s="95">
        <f t="shared" si="4"/>
        <v>5.5729999999999791</v>
      </c>
      <c r="C46" s="95">
        <f t="shared" si="4"/>
        <v>-21.524000000000001</v>
      </c>
      <c r="D46" s="95">
        <f t="shared" si="4"/>
        <v>0</v>
      </c>
      <c r="E46" s="95">
        <f t="shared" si="4"/>
        <v>-5</v>
      </c>
      <c r="F46" s="95">
        <f t="shared" si="4"/>
        <v>-5</v>
      </c>
      <c r="G46" s="94">
        <f t="shared" si="4"/>
        <v>-5</v>
      </c>
    </row>
    <row r="47" spans="1:7" x14ac:dyDescent="0.25">
      <c r="A47" s="23" t="s">
        <v>503</v>
      </c>
      <c r="B47" s="95">
        <f t="shared" ref="B47:G47" si="5">B21</f>
        <v>59.725999999999999</v>
      </c>
      <c r="C47" s="95">
        <f t="shared" si="5"/>
        <v>-131.52408797783872</v>
      </c>
      <c r="D47" s="95">
        <f t="shared" si="5"/>
        <v>-5.240509760080073</v>
      </c>
      <c r="E47" s="95">
        <f t="shared" si="5"/>
        <v>0.67390647121438718</v>
      </c>
      <c r="F47" s="95">
        <f t="shared" si="5"/>
        <v>-0.26039921728702708</v>
      </c>
      <c r="G47" s="94">
        <f t="shared" si="5"/>
        <v>1.0880114367729057</v>
      </c>
    </row>
    <row r="48" spans="1:7" x14ac:dyDescent="0.25">
      <c r="A48" s="21" t="s">
        <v>591</v>
      </c>
      <c r="B48" s="66">
        <f t="shared" ref="B48:G48" si="6">B22</f>
        <v>41294.976931298057</v>
      </c>
      <c r="C48" s="66">
        <f t="shared" si="6"/>
        <v>42053.241914801954</v>
      </c>
      <c r="D48" s="66">
        <f t="shared" si="6"/>
        <v>43773.357637739071</v>
      </c>
      <c r="E48" s="66">
        <f t="shared" si="6"/>
        <v>44619.138806390045</v>
      </c>
      <c r="F48" s="66">
        <f t="shared" si="6"/>
        <v>45628.712918056022</v>
      </c>
      <c r="G48" s="105">
        <f t="shared" si="6"/>
        <v>46313.879771311709</v>
      </c>
    </row>
    <row r="49" spans="1:7" ht="14.25" thickBot="1" x14ac:dyDescent="0.3">
      <c r="A49" s="26" t="s">
        <v>504</v>
      </c>
      <c r="B49" s="42">
        <f t="shared" ref="B49:G49" si="7">B23</f>
        <v>52.480978390988689</v>
      </c>
      <c r="C49" s="42">
        <f t="shared" si="7"/>
        <v>51.944514238273406</v>
      </c>
      <c r="D49" s="42">
        <f t="shared" si="7"/>
        <v>51.753576813312797</v>
      </c>
      <c r="E49" s="42">
        <f t="shared" si="7"/>
        <v>49.936921613254334</v>
      </c>
      <c r="F49" s="42">
        <f t="shared" si="7"/>
        <v>47.993310076994348</v>
      </c>
      <c r="G49" s="106">
        <f t="shared" si="7"/>
        <v>45.978313115681111</v>
      </c>
    </row>
    <row r="50" spans="1:7" x14ac:dyDescent="0.25">
      <c r="A50" s="968" t="s">
        <v>505</v>
      </c>
      <c r="B50" s="968"/>
      <c r="C50" s="968"/>
      <c r="D50" s="968"/>
      <c r="E50" s="968"/>
      <c r="F50" s="968"/>
      <c r="G50" s="80" t="s">
        <v>345</v>
      </c>
    </row>
    <row r="51" spans="1:7" ht="14.25" thickBot="1" x14ac:dyDescent="0.3"/>
    <row r="52" spans="1:7" ht="14.25" thickBot="1" x14ac:dyDescent="0.3">
      <c r="A52" s="126" t="s">
        <v>340</v>
      </c>
      <c r="B52" s="127">
        <f>B26</f>
        <v>78685.607999999993</v>
      </c>
      <c r="C52" s="127">
        <f t="shared" ref="C52:G52" si="8">C26</f>
        <v>80958.004000000001</v>
      </c>
      <c r="D52" s="127">
        <f t="shared" si="8"/>
        <v>84580.35237958483</v>
      </c>
      <c r="E52" s="127">
        <f t="shared" si="8"/>
        <v>89350.999951401012</v>
      </c>
      <c r="F52" s="127">
        <f t="shared" si="8"/>
        <v>95073.069235806266</v>
      </c>
      <c r="G52" s="128">
        <f t="shared" si="8"/>
        <v>100729.83681412216</v>
      </c>
    </row>
  </sheetData>
  <mergeCells count="4">
    <mergeCell ref="A3:G3"/>
    <mergeCell ref="A24:F24"/>
    <mergeCell ref="A29:G29"/>
    <mergeCell ref="A50:F50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/>
  <dimension ref="A3:O36"/>
  <sheetViews>
    <sheetView showGridLines="0" zoomScale="85" zoomScaleNormal="85" workbookViewId="0">
      <selection activeCell="N24" sqref="N24"/>
    </sheetView>
  </sheetViews>
  <sheetFormatPr defaultRowHeight="13.5" x14ac:dyDescent="0.25"/>
  <cols>
    <col min="1" max="1" width="34.7109375" style="40" bestFit="1" customWidth="1"/>
    <col min="2" max="8" width="9.140625" style="40"/>
    <col min="9" max="9" width="34.7109375" style="40" bestFit="1" customWidth="1"/>
    <col min="10" max="16384" width="9.140625" style="40"/>
  </cols>
  <sheetData>
    <row r="3" spans="1:14" ht="14.25" thickBot="1" x14ac:dyDescent="0.3">
      <c r="A3" s="649" t="s">
        <v>1604</v>
      </c>
      <c r="B3" s="52"/>
      <c r="C3" s="52"/>
      <c r="D3" s="52"/>
      <c r="E3" s="52"/>
      <c r="F3" s="52"/>
      <c r="G3" s="52"/>
      <c r="I3" s="649" t="s">
        <v>1061</v>
      </c>
      <c r="J3" s="52"/>
      <c r="K3" s="52"/>
      <c r="L3" s="52"/>
      <c r="M3" s="52"/>
      <c r="N3" s="52"/>
    </row>
    <row r="18" spans="1:15" ht="14.25" thickBot="1" x14ac:dyDescent="0.3">
      <c r="A18" s="52"/>
      <c r="B18" s="52"/>
      <c r="C18" s="52"/>
      <c r="D18" s="52"/>
      <c r="E18" s="52"/>
      <c r="F18" s="52"/>
      <c r="G18" s="52"/>
    </row>
    <row r="19" spans="1:15" ht="14.25" thickBot="1" x14ac:dyDescent="0.3">
      <c r="A19" s="52"/>
      <c r="B19" s="53">
        <v>2015</v>
      </c>
      <c r="C19" s="53">
        <v>2016</v>
      </c>
      <c r="D19" s="53">
        <v>2017</v>
      </c>
      <c r="E19" s="53">
        <v>2018</v>
      </c>
      <c r="F19" s="53">
        <v>2019</v>
      </c>
      <c r="G19" s="53">
        <v>2020</v>
      </c>
      <c r="I19" s="52"/>
      <c r="J19" s="53">
        <f>B19</f>
        <v>2015</v>
      </c>
      <c r="K19" s="53">
        <f t="shared" ref="K19:O19" si="0">C19</f>
        <v>2016</v>
      </c>
      <c r="L19" s="53">
        <f t="shared" si="0"/>
        <v>2017</v>
      </c>
      <c r="M19" s="53">
        <f t="shared" si="0"/>
        <v>2018</v>
      </c>
      <c r="N19" s="53">
        <f t="shared" si="0"/>
        <v>2019</v>
      </c>
      <c r="O19" s="53">
        <f t="shared" si="0"/>
        <v>2020</v>
      </c>
    </row>
    <row r="20" spans="1:15" ht="14.25" thickBot="1" x14ac:dyDescent="0.3">
      <c r="A20" s="54" t="s">
        <v>152</v>
      </c>
      <c r="B20" s="55">
        <v>-1.1424152441525166</v>
      </c>
      <c r="C20" s="55">
        <v>-0.53646671222289655</v>
      </c>
      <c r="D20" s="55">
        <v>-0.19093876540626553</v>
      </c>
      <c r="E20" s="55">
        <v>-1.816655200058463</v>
      </c>
      <c r="F20" s="55">
        <v>-1.9436115362599864</v>
      </c>
      <c r="G20" s="55">
        <v>-2.0149969613132299</v>
      </c>
      <c r="I20" s="54" t="s">
        <v>507</v>
      </c>
      <c r="J20" s="55">
        <f t="shared" ref="J20:J28" si="1">B20</f>
        <v>-1.1424152441525166</v>
      </c>
      <c r="K20" s="55">
        <f t="shared" ref="K20:K28" si="2">C20</f>
        <v>-0.53646671222289655</v>
      </c>
      <c r="L20" s="55">
        <f t="shared" ref="L20:L28" si="3">D20</f>
        <v>-0.19093876540626553</v>
      </c>
      <c r="M20" s="55">
        <f t="shared" ref="M20:M28" si="4">E20</f>
        <v>-1.816655200058463</v>
      </c>
      <c r="N20" s="55">
        <f t="shared" ref="N20:N28" si="5">F20</f>
        <v>-1.9436115362599864</v>
      </c>
      <c r="O20" s="55">
        <f t="shared" ref="O20:O28" si="6">G20</f>
        <v>-2.0149969613132299</v>
      </c>
    </row>
    <row r="21" spans="1:15" ht="14.25" thickBot="1" x14ac:dyDescent="0.3">
      <c r="A21" s="56" t="s">
        <v>153</v>
      </c>
      <c r="B21" s="54"/>
      <c r="C21" s="54"/>
      <c r="D21" s="54"/>
      <c r="E21" s="54"/>
      <c r="F21" s="54"/>
      <c r="G21" s="54"/>
      <c r="I21" s="56" t="s">
        <v>508</v>
      </c>
      <c r="J21" s="54">
        <f t="shared" si="1"/>
        <v>0</v>
      </c>
      <c r="K21" s="54">
        <f t="shared" si="2"/>
        <v>0</v>
      </c>
      <c r="L21" s="54">
        <f t="shared" si="3"/>
        <v>0</v>
      </c>
      <c r="M21" s="54">
        <f t="shared" si="4"/>
        <v>0</v>
      </c>
      <c r="N21" s="54">
        <f t="shared" si="5"/>
        <v>0</v>
      </c>
      <c r="O21" s="54">
        <f t="shared" si="6"/>
        <v>0</v>
      </c>
    </row>
    <row r="22" spans="1:15" x14ac:dyDescent="0.25">
      <c r="A22" s="47" t="s">
        <v>154</v>
      </c>
      <c r="B22" s="49">
        <v>0.99151931316334274</v>
      </c>
      <c r="C22" s="49">
        <v>2.8182512997726332E-2</v>
      </c>
      <c r="D22" s="49">
        <v>-6.7916482237150688E-2</v>
      </c>
      <c r="E22" s="49">
        <v>-0.77266510769382279</v>
      </c>
      <c r="F22" s="49">
        <v>-1.1826798156806813</v>
      </c>
      <c r="G22" s="49">
        <v>-1.0724131341475103</v>
      </c>
      <c r="I22" s="47" t="s">
        <v>509</v>
      </c>
      <c r="J22" s="49">
        <f t="shared" si="1"/>
        <v>0.99151931316334274</v>
      </c>
      <c r="K22" s="49">
        <f t="shared" si="2"/>
        <v>2.8182512997726332E-2</v>
      </c>
      <c r="L22" s="49">
        <f t="shared" si="3"/>
        <v>-6.7916482237150688E-2</v>
      </c>
      <c r="M22" s="49">
        <f t="shared" si="4"/>
        <v>-0.77266510769382279</v>
      </c>
      <c r="N22" s="49">
        <f t="shared" si="5"/>
        <v>-1.1826798156806813</v>
      </c>
      <c r="O22" s="49">
        <f t="shared" si="6"/>
        <v>-1.0724131341475103</v>
      </c>
    </row>
    <row r="23" spans="1:15" x14ac:dyDescent="0.25">
      <c r="A23" s="48" t="s">
        <v>155</v>
      </c>
      <c r="B23" s="49">
        <v>-0.11370742759730201</v>
      </c>
      <c r="C23" s="49">
        <v>0.18051983798898963</v>
      </c>
      <c r="D23" s="49">
        <v>-0.91672746274354178</v>
      </c>
      <c r="E23" s="49">
        <v>-1.490572860176983</v>
      </c>
      <c r="F23" s="49">
        <v>-1.8228245570901047</v>
      </c>
      <c r="G23" s="49">
        <v>-1.6227863122745145</v>
      </c>
      <c r="I23" s="48" t="s">
        <v>510</v>
      </c>
      <c r="J23" s="49">
        <f t="shared" si="1"/>
        <v>-0.11370742759730201</v>
      </c>
      <c r="K23" s="49">
        <f t="shared" si="2"/>
        <v>0.18051983798898963</v>
      </c>
      <c r="L23" s="49">
        <f t="shared" si="3"/>
        <v>-0.91672746274354178</v>
      </c>
      <c r="M23" s="49">
        <f t="shared" si="4"/>
        <v>-1.490572860176983</v>
      </c>
      <c r="N23" s="49">
        <f t="shared" si="5"/>
        <v>-1.8228245570901047</v>
      </c>
      <c r="O23" s="49">
        <f t="shared" si="6"/>
        <v>-1.6227863122745145</v>
      </c>
    </row>
    <row r="24" spans="1:15" x14ac:dyDescent="0.25">
      <c r="A24" s="47" t="s">
        <v>156</v>
      </c>
      <c r="B24" s="49">
        <v>1.7530613730531257</v>
      </c>
      <c r="C24" s="49">
        <v>1.6535993155167219</v>
      </c>
      <c r="D24" s="49">
        <v>1.307916045366363</v>
      </c>
      <c r="E24" s="49">
        <v>1.2726651079657783</v>
      </c>
      <c r="F24" s="49">
        <v>1.1826798156806813</v>
      </c>
      <c r="G24" s="49">
        <v>1.0724131341475103</v>
      </c>
      <c r="I24" s="47" t="s">
        <v>511</v>
      </c>
      <c r="J24" s="49">
        <f t="shared" si="1"/>
        <v>1.7530613730531257</v>
      </c>
      <c r="K24" s="49">
        <f t="shared" si="2"/>
        <v>1.6535993155167219</v>
      </c>
      <c r="L24" s="49">
        <f t="shared" si="3"/>
        <v>1.307916045366363</v>
      </c>
      <c r="M24" s="49">
        <f t="shared" si="4"/>
        <v>1.2726651079657783</v>
      </c>
      <c r="N24" s="49">
        <f t="shared" si="5"/>
        <v>1.1826798156806813</v>
      </c>
      <c r="O24" s="49">
        <f t="shared" si="6"/>
        <v>1.0724131341475103</v>
      </c>
    </row>
    <row r="25" spans="1:15" x14ac:dyDescent="0.25">
      <c r="A25" s="48" t="s">
        <v>157</v>
      </c>
      <c r="B25" s="49">
        <v>-1.8667688006504277</v>
      </c>
      <c r="C25" s="49">
        <v>-1.4730794775277323</v>
      </c>
      <c r="D25" s="49">
        <v>-2.2246435081099047</v>
      </c>
      <c r="E25" s="49">
        <v>-2.7632379681427612</v>
      </c>
      <c r="F25" s="49">
        <v>-3.005504372770786</v>
      </c>
      <c r="G25" s="49">
        <v>-2.6951994464220248</v>
      </c>
      <c r="I25" s="48" t="s">
        <v>512</v>
      </c>
      <c r="J25" s="49">
        <f t="shared" si="1"/>
        <v>-1.8667688006504277</v>
      </c>
      <c r="K25" s="49">
        <f t="shared" si="2"/>
        <v>-1.4730794775277323</v>
      </c>
      <c r="L25" s="49">
        <f t="shared" si="3"/>
        <v>-2.2246435081099047</v>
      </c>
      <c r="M25" s="49">
        <f t="shared" si="4"/>
        <v>-2.7632379681427612</v>
      </c>
      <c r="N25" s="49">
        <f t="shared" si="5"/>
        <v>-3.005504372770786</v>
      </c>
      <c r="O25" s="49">
        <f t="shared" si="6"/>
        <v>-2.6951994464220248</v>
      </c>
    </row>
    <row r="26" spans="1:15" x14ac:dyDescent="0.25">
      <c r="A26" s="654" t="s">
        <v>740</v>
      </c>
      <c r="B26" s="49">
        <v>-1.9744414802591592</v>
      </c>
      <c r="C26" s="49">
        <v>-1.6613492383326836</v>
      </c>
      <c r="D26" s="49">
        <v>-1.7212636001895381</v>
      </c>
      <c r="E26" s="49">
        <v>-2.0289160099038908</v>
      </c>
      <c r="F26" s="49">
        <v>-2.1240368700806269</v>
      </c>
      <c r="G26" s="49">
        <v>-1.7964402996343747</v>
      </c>
      <c r="I26" s="47" t="s">
        <v>742</v>
      </c>
      <c r="J26" s="49">
        <f t="shared" si="1"/>
        <v>-1.9744414802591592</v>
      </c>
      <c r="K26" s="49">
        <f t="shared" si="2"/>
        <v>-1.6613492383326836</v>
      </c>
      <c r="L26" s="49">
        <f t="shared" si="3"/>
        <v>-1.7212636001895381</v>
      </c>
      <c r="M26" s="49">
        <f t="shared" si="4"/>
        <v>-2.0289160099038908</v>
      </c>
      <c r="N26" s="49">
        <f t="shared" si="5"/>
        <v>-2.1240368700806269</v>
      </c>
      <c r="O26" s="49">
        <f t="shared" si="6"/>
        <v>-1.7964402996343747</v>
      </c>
    </row>
    <row r="27" spans="1:15" x14ac:dyDescent="0.25">
      <c r="A27" s="654" t="s">
        <v>741</v>
      </c>
      <c r="B27" s="49">
        <v>0.1076726796087315</v>
      </c>
      <c r="C27" s="49">
        <v>0.18826976080495128</v>
      </c>
      <c r="D27" s="49">
        <v>-0.50337990792036669</v>
      </c>
      <c r="E27" s="49">
        <v>-0.73432195823887048</v>
      </c>
      <c r="F27" s="49">
        <v>-0.88146750269015905</v>
      </c>
      <c r="G27" s="49">
        <v>-0.89875914678765012</v>
      </c>
      <c r="I27" s="47" t="s">
        <v>743</v>
      </c>
      <c r="J27" s="49">
        <f t="shared" si="1"/>
        <v>0.1076726796087315</v>
      </c>
      <c r="K27" s="49">
        <f t="shared" si="2"/>
        <v>0.18826976080495128</v>
      </c>
      <c r="L27" s="49">
        <f t="shared" si="3"/>
        <v>-0.50337990792036669</v>
      </c>
      <c r="M27" s="49">
        <f t="shared" si="4"/>
        <v>-0.73432195823887048</v>
      </c>
      <c r="N27" s="49">
        <f t="shared" si="5"/>
        <v>-0.88146750269015905</v>
      </c>
      <c r="O27" s="49">
        <f t="shared" si="6"/>
        <v>-0.89875914678765012</v>
      </c>
    </row>
    <row r="28" spans="1:15" ht="14.25" thickBot="1" x14ac:dyDescent="0.3">
      <c r="A28" s="50" t="s">
        <v>158</v>
      </c>
      <c r="B28" s="51">
        <v>-2.020227129718557</v>
      </c>
      <c r="C28" s="51">
        <v>-0.74516906320961251</v>
      </c>
      <c r="D28" s="51">
        <v>0.79370517957442699</v>
      </c>
      <c r="E28" s="51">
        <v>0.44658276781234263</v>
      </c>
      <c r="F28" s="51">
        <v>1.0618928365107996</v>
      </c>
      <c r="G28" s="51">
        <v>0.68020248510879489</v>
      </c>
      <c r="I28" s="50" t="s">
        <v>513</v>
      </c>
      <c r="J28" s="51">
        <f t="shared" si="1"/>
        <v>-2.020227129718557</v>
      </c>
      <c r="K28" s="51">
        <f t="shared" si="2"/>
        <v>-0.74516906320961251</v>
      </c>
      <c r="L28" s="51">
        <f t="shared" si="3"/>
        <v>0.79370517957442699</v>
      </c>
      <c r="M28" s="51">
        <f t="shared" si="4"/>
        <v>0.44658276781234263</v>
      </c>
      <c r="N28" s="51">
        <f t="shared" si="5"/>
        <v>1.0618928365107996</v>
      </c>
      <c r="O28" s="51">
        <f t="shared" si="6"/>
        <v>0.68020248510879489</v>
      </c>
    </row>
    <row r="29" spans="1:15" ht="15.75" customHeight="1" x14ac:dyDescent="0.25">
      <c r="A29" s="183"/>
      <c r="B29" s="184"/>
      <c r="C29" s="184"/>
      <c r="D29" s="184"/>
      <c r="E29" s="184"/>
      <c r="F29" s="970" t="s">
        <v>21</v>
      </c>
      <c r="G29" s="970"/>
      <c r="I29" s="183"/>
      <c r="J29" s="184"/>
      <c r="K29" s="184"/>
      <c r="L29" s="184"/>
      <c r="M29" s="184"/>
      <c r="N29" s="969" t="s">
        <v>514</v>
      </c>
      <c r="O29" s="969"/>
    </row>
    <row r="30" spans="1:15" ht="15" customHeight="1" x14ac:dyDescent="0.25">
      <c r="B30" s="49"/>
      <c r="C30" s="49"/>
      <c r="D30" s="49"/>
      <c r="E30" s="49"/>
      <c r="F30" s="969"/>
      <c r="G30" s="969"/>
      <c r="N30" s="969"/>
      <c r="O30" s="969"/>
    </row>
    <row r="36" spans="1:1" x14ac:dyDescent="0.25">
      <c r="A36" s="120"/>
    </row>
  </sheetData>
  <mergeCells count="4">
    <mergeCell ref="F30:G30"/>
    <mergeCell ref="N30:O30"/>
    <mergeCell ref="F29:G29"/>
    <mergeCell ref="N29:O29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B2:G31"/>
  <sheetViews>
    <sheetView showGridLines="0" zoomScale="85" zoomScaleNormal="85" workbookViewId="0">
      <selection activeCell="I17" sqref="I17"/>
    </sheetView>
  </sheetViews>
  <sheetFormatPr defaultRowHeight="13.5" x14ac:dyDescent="0.25"/>
  <cols>
    <col min="1" max="1" width="15.5703125" style="40" customWidth="1"/>
    <col min="2" max="2" width="36.28515625" style="40" bestFit="1" customWidth="1"/>
    <col min="3" max="16384" width="9.140625" style="40"/>
  </cols>
  <sheetData>
    <row r="2" spans="2:7" ht="14.25" thickBot="1" x14ac:dyDescent="0.3">
      <c r="B2" s="971" t="s">
        <v>1062</v>
      </c>
      <c r="C2" s="971"/>
      <c r="D2" s="971"/>
      <c r="E2" s="971"/>
      <c r="F2" s="971"/>
      <c r="G2" s="971"/>
    </row>
    <row r="3" spans="2:7" ht="14.25" thickBot="1" x14ac:dyDescent="0.3">
      <c r="B3" s="18"/>
      <c r="C3" s="12">
        <v>2016</v>
      </c>
      <c r="D3" s="12">
        <v>2017</v>
      </c>
      <c r="E3" s="12">
        <v>2018</v>
      </c>
      <c r="F3" s="12">
        <v>2019</v>
      </c>
      <c r="G3" s="12">
        <v>2020</v>
      </c>
    </row>
    <row r="4" spans="2:7" x14ac:dyDescent="0.25">
      <c r="B4" s="16" t="s">
        <v>1063</v>
      </c>
      <c r="C4" s="326">
        <v>-0.7</v>
      </c>
      <c r="D4" s="326">
        <v>0.8</v>
      </c>
      <c r="E4" s="326">
        <v>0.4</v>
      </c>
      <c r="F4" s="326">
        <v>1.1000000000000001</v>
      </c>
      <c r="G4" s="326">
        <v>0.7</v>
      </c>
    </row>
    <row r="5" spans="2:7" x14ac:dyDescent="0.25">
      <c r="B5" s="8" t="s">
        <v>1064</v>
      </c>
      <c r="C5" s="326">
        <v>-0.9</v>
      </c>
      <c r="D5" s="326">
        <v>0.5</v>
      </c>
      <c r="E5" s="326">
        <v>0.6</v>
      </c>
      <c r="F5" s="326">
        <v>0.5</v>
      </c>
      <c r="G5" s="326">
        <v>0.5</v>
      </c>
    </row>
    <row r="6" spans="2:7" x14ac:dyDescent="0.25">
      <c r="B6" s="8" t="s">
        <v>1065</v>
      </c>
      <c r="C6" s="326">
        <v>0.2</v>
      </c>
      <c r="D6" s="326">
        <v>0.4</v>
      </c>
      <c r="E6" s="326">
        <v>0.1</v>
      </c>
      <c r="F6" s="326">
        <v>0.7</v>
      </c>
      <c r="G6" s="326">
        <v>0.4</v>
      </c>
    </row>
    <row r="7" spans="2:7" x14ac:dyDescent="0.25">
      <c r="B7" s="327" t="s">
        <v>1066</v>
      </c>
      <c r="C7" s="328">
        <v>0.8</v>
      </c>
      <c r="D7" s="328">
        <v>0.2</v>
      </c>
      <c r="E7" s="328">
        <v>0.2</v>
      </c>
      <c r="F7" s="328">
        <v>0.7</v>
      </c>
      <c r="G7" s="328">
        <v>0.5</v>
      </c>
    </row>
    <row r="8" spans="2:7" x14ac:dyDescent="0.25">
      <c r="B8" s="327" t="s">
        <v>1067</v>
      </c>
      <c r="C8" s="328">
        <v>0</v>
      </c>
      <c r="D8" s="328">
        <v>0</v>
      </c>
      <c r="E8" s="328">
        <v>0</v>
      </c>
      <c r="F8" s="328">
        <v>0</v>
      </c>
      <c r="G8" s="328">
        <v>0</v>
      </c>
    </row>
    <row r="9" spans="2:7" x14ac:dyDescent="0.25">
      <c r="B9" s="327" t="s">
        <v>1068</v>
      </c>
      <c r="C9" s="328">
        <v>0</v>
      </c>
      <c r="D9" s="328">
        <v>0</v>
      </c>
      <c r="E9" s="328">
        <v>0</v>
      </c>
      <c r="F9" s="328">
        <v>0</v>
      </c>
      <c r="G9" s="328">
        <v>0</v>
      </c>
    </row>
    <row r="10" spans="2:7" x14ac:dyDescent="0.25">
      <c r="B10" s="327" t="s">
        <v>1069</v>
      </c>
      <c r="C10" s="328">
        <v>-0.6</v>
      </c>
      <c r="D10" s="328">
        <v>0.2</v>
      </c>
      <c r="E10" s="328">
        <v>-0.1</v>
      </c>
      <c r="F10" s="328">
        <v>0</v>
      </c>
      <c r="G10" s="328">
        <v>-0.1</v>
      </c>
    </row>
    <row r="11" spans="2:7" x14ac:dyDescent="0.25">
      <c r="B11" s="8" t="s">
        <v>1070</v>
      </c>
      <c r="C11" s="326">
        <v>0.1</v>
      </c>
      <c r="D11" s="326">
        <v>0.3</v>
      </c>
      <c r="E11" s="326">
        <v>0</v>
      </c>
      <c r="F11" s="326">
        <v>0.1</v>
      </c>
      <c r="G11" s="326">
        <v>0</v>
      </c>
    </row>
    <row r="12" spans="2:7" x14ac:dyDescent="0.25">
      <c r="B12" s="8" t="s">
        <v>1071</v>
      </c>
      <c r="C12" s="326">
        <v>-0.1</v>
      </c>
      <c r="D12" s="326">
        <v>-0.1</v>
      </c>
      <c r="E12" s="326">
        <v>0</v>
      </c>
      <c r="F12" s="326">
        <v>0</v>
      </c>
      <c r="G12" s="326">
        <v>0</v>
      </c>
    </row>
    <row r="13" spans="2:7" ht="14.25" thickBot="1" x14ac:dyDescent="0.3">
      <c r="B13" s="46" t="s">
        <v>1072</v>
      </c>
      <c r="C13" s="12">
        <v>0</v>
      </c>
      <c r="D13" s="12">
        <v>-0.3</v>
      </c>
      <c r="E13" s="12">
        <v>-0.3</v>
      </c>
      <c r="F13" s="12">
        <v>-0.3</v>
      </c>
      <c r="G13" s="12">
        <v>-0.3</v>
      </c>
    </row>
    <row r="14" spans="2:7" x14ac:dyDescent="0.25">
      <c r="B14" s="899" t="s">
        <v>1073</v>
      </c>
      <c r="C14" s="899"/>
      <c r="D14" s="899"/>
      <c r="E14" s="899"/>
      <c r="F14" s="899"/>
      <c r="G14" s="899"/>
    </row>
    <row r="19" spans="2:7" ht="14.25" thickBot="1" x14ac:dyDescent="0.3">
      <c r="B19" s="971" t="s">
        <v>1799</v>
      </c>
      <c r="C19" s="971"/>
      <c r="D19" s="971"/>
      <c r="E19" s="971"/>
      <c r="F19" s="971"/>
      <c r="G19" s="971"/>
    </row>
    <row r="20" spans="2:7" ht="14.25" thickBot="1" x14ac:dyDescent="0.3">
      <c r="B20" s="18"/>
      <c r="C20" s="12">
        <v>2016</v>
      </c>
      <c r="D20" s="12">
        <v>2017</v>
      </c>
      <c r="E20" s="12">
        <v>2018</v>
      </c>
      <c r="F20" s="12">
        <v>2019</v>
      </c>
      <c r="G20" s="12">
        <v>2020</v>
      </c>
    </row>
    <row r="21" spans="2:7" x14ac:dyDescent="0.25">
      <c r="B21" s="16" t="s">
        <v>513</v>
      </c>
      <c r="C21" s="326">
        <v>-0.7</v>
      </c>
      <c r="D21" s="326">
        <v>0.8</v>
      </c>
      <c r="E21" s="326">
        <v>0.4</v>
      </c>
      <c r="F21" s="326">
        <v>1.1000000000000001</v>
      </c>
      <c r="G21" s="326">
        <v>0.7</v>
      </c>
    </row>
    <row r="22" spans="2:7" x14ac:dyDescent="0.25">
      <c r="B22" s="8" t="s">
        <v>1791</v>
      </c>
      <c r="C22" s="326">
        <v>-0.9</v>
      </c>
      <c r="D22" s="326">
        <v>0.5</v>
      </c>
      <c r="E22" s="326">
        <v>0.6</v>
      </c>
      <c r="F22" s="326">
        <v>0.5</v>
      </c>
      <c r="G22" s="326">
        <v>0.5</v>
      </c>
    </row>
    <row r="23" spans="2:7" x14ac:dyDescent="0.25">
      <c r="B23" s="8" t="s">
        <v>1792</v>
      </c>
      <c r="C23" s="326">
        <v>0.2</v>
      </c>
      <c r="D23" s="326">
        <v>0.4</v>
      </c>
      <c r="E23" s="326">
        <v>0.1</v>
      </c>
      <c r="F23" s="326">
        <v>0.7</v>
      </c>
      <c r="G23" s="326">
        <v>0.4</v>
      </c>
    </row>
    <row r="24" spans="2:7" x14ac:dyDescent="0.25">
      <c r="B24" s="327" t="s">
        <v>1793</v>
      </c>
      <c r="C24" s="328">
        <v>0.8</v>
      </c>
      <c r="D24" s="328">
        <v>0.2</v>
      </c>
      <c r="E24" s="328">
        <v>0.2</v>
      </c>
      <c r="F24" s="328">
        <v>0.7</v>
      </c>
      <c r="G24" s="328">
        <v>0.5</v>
      </c>
    </row>
    <row r="25" spans="2:7" x14ac:dyDescent="0.25">
      <c r="B25" s="327" t="s">
        <v>1067</v>
      </c>
      <c r="C25" s="328">
        <v>0</v>
      </c>
      <c r="D25" s="328">
        <v>0</v>
      </c>
      <c r="E25" s="328">
        <v>0</v>
      </c>
      <c r="F25" s="328">
        <v>0</v>
      </c>
      <c r="G25" s="328">
        <v>0</v>
      </c>
    </row>
    <row r="26" spans="2:7" x14ac:dyDescent="0.25">
      <c r="B26" s="327" t="s">
        <v>1068</v>
      </c>
      <c r="C26" s="328">
        <v>0</v>
      </c>
      <c r="D26" s="328">
        <v>0</v>
      </c>
      <c r="E26" s="328">
        <v>0</v>
      </c>
      <c r="F26" s="328">
        <v>0</v>
      </c>
      <c r="G26" s="328">
        <v>0</v>
      </c>
    </row>
    <row r="27" spans="2:7" x14ac:dyDescent="0.25">
      <c r="B27" s="327" t="s">
        <v>1794</v>
      </c>
      <c r="C27" s="328">
        <v>-0.6</v>
      </c>
      <c r="D27" s="328">
        <v>0.2</v>
      </c>
      <c r="E27" s="328">
        <v>-0.1</v>
      </c>
      <c r="F27" s="328">
        <v>0</v>
      </c>
      <c r="G27" s="328">
        <v>-0.1</v>
      </c>
    </row>
    <row r="28" spans="2:7" x14ac:dyDescent="0.25">
      <c r="B28" s="8" t="s">
        <v>1795</v>
      </c>
      <c r="C28" s="326">
        <v>0.1</v>
      </c>
      <c r="D28" s="326">
        <v>0.3</v>
      </c>
      <c r="E28" s="326">
        <v>0</v>
      </c>
      <c r="F28" s="326">
        <v>0.1</v>
      </c>
      <c r="G28" s="326">
        <v>0</v>
      </c>
    </row>
    <row r="29" spans="2:7" x14ac:dyDescent="0.25">
      <c r="B29" s="8" t="s">
        <v>1796</v>
      </c>
      <c r="C29" s="326">
        <v>-0.1</v>
      </c>
      <c r="D29" s="326">
        <v>-0.1</v>
      </c>
      <c r="E29" s="326">
        <v>0</v>
      </c>
      <c r="F29" s="326">
        <v>0</v>
      </c>
      <c r="G29" s="326">
        <v>0</v>
      </c>
    </row>
    <row r="30" spans="2:7" ht="14.25" thickBot="1" x14ac:dyDescent="0.3">
      <c r="B30" s="46" t="s">
        <v>1797</v>
      </c>
      <c r="C30" s="12">
        <v>0</v>
      </c>
      <c r="D30" s="12">
        <v>-0.3</v>
      </c>
      <c r="E30" s="12">
        <v>-0.3</v>
      </c>
      <c r="F30" s="12">
        <v>-0.3</v>
      </c>
      <c r="G30" s="12">
        <v>-0.3</v>
      </c>
    </row>
    <row r="31" spans="2:7" x14ac:dyDescent="0.25">
      <c r="B31" s="899" t="s">
        <v>1798</v>
      </c>
      <c r="C31" s="899"/>
      <c r="D31" s="899"/>
      <c r="E31" s="899"/>
      <c r="F31" s="899"/>
      <c r="G31" s="899"/>
    </row>
  </sheetData>
  <mergeCells count="4">
    <mergeCell ref="B2:G2"/>
    <mergeCell ref="B14:G14"/>
    <mergeCell ref="B19:G19"/>
    <mergeCell ref="B31:G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AU32"/>
  <sheetViews>
    <sheetView showGridLines="0" zoomScale="85" zoomScaleNormal="85" workbookViewId="0">
      <selection activeCell="X21" sqref="X21"/>
    </sheetView>
  </sheetViews>
  <sheetFormatPr defaultRowHeight="13.5" x14ac:dyDescent="0.25"/>
  <cols>
    <col min="1" max="1" width="35" style="40" customWidth="1"/>
    <col min="2" max="2" width="9.140625" style="40"/>
    <col min="3" max="3" width="9.140625" style="393"/>
    <col min="4" max="4" width="32.28515625" style="40" customWidth="1"/>
    <col min="5" max="5" width="15.85546875" style="40" customWidth="1"/>
    <col min="6" max="7" width="9.140625" style="40"/>
    <col min="8" max="8" width="29.140625" style="40" bestFit="1" customWidth="1"/>
    <col min="9" max="16384" width="9.140625" style="40"/>
  </cols>
  <sheetData>
    <row r="1" spans="1:47" ht="14.25" thickBot="1" x14ac:dyDescent="0.3">
      <c r="H1" s="760"/>
      <c r="I1" s="774">
        <v>41640</v>
      </c>
      <c r="J1" s="774">
        <v>41671</v>
      </c>
      <c r="K1" s="774">
        <v>41699</v>
      </c>
      <c r="L1" s="774">
        <v>41730</v>
      </c>
      <c r="M1" s="774">
        <v>41760</v>
      </c>
      <c r="N1" s="774">
        <v>41791</v>
      </c>
      <c r="O1" s="774">
        <v>41821</v>
      </c>
      <c r="P1" s="774">
        <v>41852</v>
      </c>
      <c r="Q1" s="774">
        <v>41883</v>
      </c>
      <c r="R1" s="774">
        <v>41913</v>
      </c>
      <c r="S1" s="774">
        <v>41944</v>
      </c>
      <c r="T1" s="774">
        <v>41974</v>
      </c>
      <c r="U1" s="774">
        <v>42005</v>
      </c>
      <c r="V1" s="774">
        <v>42036</v>
      </c>
      <c r="W1" s="774">
        <v>42064</v>
      </c>
      <c r="X1" s="774">
        <v>42095</v>
      </c>
      <c r="Y1" s="774">
        <v>42125</v>
      </c>
      <c r="Z1" s="774">
        <v>42156</v>
      </c>
      <c r="AA1" s="774">
        <v>42186</v>
      </c>
      <c r="AB1" s="774">
        <v>42217</v>
      </c>
      <c r="AC1" s="774">
        <v>42248</v>
      </c>
      <c r="AD1" s="774">
        <v>42278</v>
      </c>
      <c r="AE1" s="774">
        <v>42309</v>
      </c>
      <c r="AF1" s="774">
        <v>42339</v>
      </c>
      <c r="AG1" s="774">
        <v>42370</v>
      </c>
      <c r="AH1" s="774">
        <v>42401</v>
      </c>
      <c r="AI1" s="774">
        <v>42430</v>
      </c>
      <c r="AJ1" s="774">
        <v>42461</v>
      </c>
      <c r="AK1" s="774">
        <v>42491</v>
      </c>
      <c r="AL1" s="774">
        <v>42522</v>
      </c>
      <c r="AM1" s="774">
        <v>42552</v>
      </c>
      <c r="AN1" s="774">
        <v>42583</v>
      </c>
      <c r="AO1" s="774">
        <v>42614</v>
      </c>
      <c r="AP1" s="774">
        <v>42644</v>
      </c>
      <c r="AQ1" s="774">
        <v>42675</v>
      </c>
      <c r="AR1" s="774">
        <v>42705</v>
      </c>
      <c r="AS1" s="774">
        <v>42736</v>
      </c>
      <c r="AT1" s="774">
        <v>42767</v>
      </c>
    </row>
    <row r="2" spans="1:47" x14ac:dyDescent="0.25">
      <c r="H2" s="120" t="s">
        <v>170</v>
      </c>
      <c r="I2" s="775">
        <v>2.5230000000000001</v>
      </c>
      <c r="J2" s="775">
        <v>2.258</v>
      </c>
      <c r="K2" s="775">
        <v>2.1739999999999999</v>
      </c>
      <c r="L2" s="775">
        <v>2.375</v>
      </c>
      <c r="M2" s="775">
        <v>2.2370000000000001</v>
      </c>
      <c r="N2" s="775">
        <v>2.0880000000000001</v>
      </c>
      <c r="O2" s="775">
        <v>1.9750000000000001</v>
      </c>
      <c r="P2" s="775">
        <v>1.716</v>
      </c>
      <c r="Q2" s="775">
        <v>1.53</v>
      </c>
      <c r="R2" s="775">
        <v>1.47</v>
      </c>
      <c r="S2" s="775">
        <v>1.3679999999999999</v>
      </c>
      <c r="T2" s="775">
        <v>1.167</v>
      </c>
      <c r="U2" s="775">
        <v>0.77500000000000002</v>
      </c>
      <c r="V2" s="775">
        <v>0.8</v>
      </c>
      <c r="W2" s="775">
        <v>0.51200000000000001</v>
      </c>
      <c r="X2" s="775">
        <v>0.54900000000000004</v>
      </c>
      <c r="Y2" s="775">
        <v>0.82</v>
      </c>
      <c r="Z2" s="775">
        <v>1.383</v>
      </c>
      <c r="AA2" s="775">
        <v>0.97399999999999998</v>
      </c>
      <c r="AB2" s="775">
        <v>1.1120000000000001</v>
      </c>
      <c r="AC2" s="775">
        <v>0.82699999999999996</v>
      </c>
      <c r="AD2" s="775">
        <v>0.77300000000000002</v>
      </c>
      <c r="AE2" s="775">
        <v>0.65900000000000003</v>
      </c>
      <c r="AF2" s="775">
        <v>0.78400000000000003</v>
      </c>
      <c r="AG2" s="775">
        <v>0.629</v>
      </c>
      <c r="AH2" s="775">
        <v>0.41</v>
      </c>
      <c r="AI2" s="775">
        <v>0.39900000000000002</v>
      </c>
      <c r="AJ2" s="775">
        <v>0.52300000000000002</v>
      </c>
      <c r="AK2" s="775">
        <v>0.88800000000000001</v>
      </c>
      <c r="AL2" s="775">
        <v>0.63700000000000001</v>
      </c>
      <c r="AM2" s="775">
        <v>0.33200000000000002</v>
      </c>
      <c r="AN2" s="775">
        <v>0.30499999999999999</v>
      </c>
      <c r="AO2" s="775">
        <v>0.30399999999999999</v>
      </c>
      <c r="AP2" s="775">
        <v>0.57999999999999996</v>
      </c>
      <c r="AQ2" s="775">
        <v>1.0329999999999999</v>
      </c>
      <c r="AR2" s="775">
        <v>0.94399999999999995</v>
      </c>
      <c r="AS2" s="775">
        <v>1.1080000000000001</v>
      </c>
      <c r="AT2" s="775">
        <v>1.044</v>
      </c>
    </row>
    <row r="3" spans="1:47" ht="14.25" thickBot="1" x14ac:dyDescent="0.3">
      <c r="A3" s="919" t="s">
        <v>570</v>
      </c>
      <c r="B3" s="919"/>
      <c r="C3" s="653"/>
      <c r="D3" s="919" t="s">
        <v>707</v>
      </c>
      <c r="E3" s="919"/>
      <c r="H3" s="120" t="s">
        <v>10</v>
      </c>
      <c r="I3" s="775">
        <v>1.659</v>
      </c>
      <c r="J3" s="775">
        <v>1.6240000000000001</v>
      </c>
      <c r="K3" s="775">
        <v>1.5659999999999998</v>
      </c>
      <c r="L3" s="775">
        <v>1.4689999999999999</v>
      </c>
      <c r="M3" s="775">
        <v>1.3580000000000001</v>
      </c>
      <c r="N3" s="775">
        <v>1.2450000000000001</v>
      </c>
      <c r="O3" s="775">
        <v>1.155</v>
      </c>
      <c r="P3" s="775">
        <v>0.89</v>
      </c>
      <c r="Q3" s="775">
        <v>0.94699999999999995</v>
      </c>
      <c r="R3" s="775">
        <v>0.84099999999999997</v>
      </c>
      <c r="S3" s="775">
        <v>0.7</v>
      </c>
      <c r="T3" s="775">
        <v>0.54100000000000004</v>
      </c>
      <c r="U3" s="775">
        <v>0.30199999999999999</v>
      </c>
      <c r="V3" s="775">
        <v>0.32800000000000001</v>
      </c>
      <c r="W3" s="775">
        <v>0.18</v>
      </c>
      <c r="X3" s="775">
        <v>0.36599999999999999</v>
      </c>
      <c r="Y3" s="775">
        <v>0.48699999999999999</v>
      </c>
      <c r="Z3" s="775">
        <v>0.76400000000000001</v>
      </c>
      <c r="AA3" s="775">
        <v>0.64400000000000002</v>
      </c>
      <c r="AB3" s="775">
        <v>0.79800000000000004</v>
      </c>
      <c r="AC3" s="775">
        <v>0.58699999999999997</v>
      </c>
      <c r="AD3" s="775">
        <v>0.51700000000000002</v>
      </c>
      <c r="AE3" s="775">
        <v>0.47299999999999998</v>
      </c>
      <c r="AF3" s="775">
        <v>0.629</v>
      </c>
      <c r="AG3" s="775">
        <v>0.32500000000000001</v>
      </c>
      <c r="AH3" s="775">
        <v>0.107</v>
      </c>
      <c r="AI3" s="775">
        <v>0.153</v>
      </c>
      <c r="AJ3" s="775">
        <v>0.27100000000000002</v>
      </c>
      <c r="AK3" s="775">
        <v>0.13900000000000001</v>
      </c>
      <c r="AL3" s="775">
        <v>-0.13</v>
      </c>
      <c r="AM3" s="775">
        <v>-0.11899999999999999</v>
      </c>
      <c r="AN3" s="775">
        <v>-6.5000000000000002E-2</v>
      </c>
      <c r="AO3" s="775">
        <v>-0.11899999999999999</v>
      </c>
      <c r="AP3" s="775">
        <v>0.16300000000000001</v>
      </c>
      <c r="AQ3" s="775">
        <v>0.27500000000000002</v>
      </c>
      <c r="AR3" s="775">
        <v>0.20799999999999999</v>
      </c>
      <c r="AS3" s="775">
        <v>0.436</v>
      </c>
      <c r="AT3" s="775">
        <v>0.20799999999999999</v>
      </c>
    </row>
    <row r="4" spans="1:47" x14ac:dyDescent="0.25">
      <c r="A4" s="84"/>
      <c r="B4" s="85"/>
      <c r="C4" s="463"/>
      <c r="D4" s="84"/>
      <c r="H4" s="120" t="s">
        <v>176</v>
      </c>
      <c r="I4" s="775">
        <v>3.6589999999999998</v>
      </c>
      <c r="J4" s="775">
        <v>3.5089999999999999</v>
      </c>
      <c r="K4" s="775">
        <v>3.23</v>
      </c>
      <c r="L4" s="775">
        <v>3.0150000000000001</v>
      </c>
      <c r="M4" s="775">
        <v>2.8540000000000001</v>
      </c>
      <c r="N4" s="775">
        <v>2.661</v>
      </c>
      <c r="O4" s="775">
        <v>2.5049999999999999</v>
      </c>
      <c r="P4" s="775">
        <v>2.2290000000000001</v>
      </c>
      <c r="Q4" s="775">
        <v>2.14</v>
      </c>
      <c r="R4" s="775">
        <v>2.0760000000000001</v>
      </c>
      <c r="S4" s="775">
        <v>1.895</v>
      </c>
      <c r="T4" s="775">
        <v>1.611</v>
      </c>
      <c r="U4" s="775">
        <v>1.423</v>
      </c>
      <c r="V4" s="775">
        <v>1.26</v>
      </c>
      <c r="W4" s="775">
        <v>1.212</v>
      </c>
      <c r="X4" s="775">
        <v>1.468</v>
      </c>
      <c r="Y4" s="775">
        <v>1.8380000000000001</v>
      </c>
      <c r="Z4" s="775">
        <v>2.3010000000000002</v>
      </c>
      <c r="AA4" s="775">
        <v>1.8420000000000001</v>
      </c>
      <c r="AB4" s="775">
        <v>2.109</v>
      </c>
      <c r="AC4" s="775">
        <v>1.8919999999999999</v>
      </c>
      <c r="AD4" s="775">
        <v>1.6720000000000002</v>
      </c>
      <c r="AE4" s="775">
        <v>1.5209999999999999</v>
      </c>
      <c r="AF4" s="775">
        <v>1.7709999999999999</v>
      </c>
      <c r="AG4" s="775">
        <v>1.512</v>
      </c>
      <c r="AH4" s="775">
        <v>1.53</v>
      </c>
      <c r="AI4" s="775">
        <v>1.4370000000000001</v>
      </c>
      <c r="AJ4" s="775">
        <v>1.593</v>
      </c>
      <c r="AK4" s="775">
        <v>1.4729999999999999</v>
      </c>
      <c r="AL4" s="775">
        <v>1.163</v>
      </c>
      <c r="AM4" s="775">
        <v>1.0189999999999999</v>
      </c>
      <c r="AN4" s="775">
        <v>1.0129999999999999</v>
      </c>
      <c r="AO4" s="775">
        <v>0.88</v>
      </c>
      <c r="AP4" s="775">
        <v>1.1990000000000001</v>
      </c>
      <c r="AQ4" s="775">
        <v>1.5510000000000002</v>
      </c>
      <c r="AR4" s="775">
        <v>1.3839999999999999</v>
      </c>
      <c r="AS4" s="775">
        <v>1.5979999999999999</v>
      </c>
      <c r="AT4" s="775">
        <v>1.655</v>
      </c>
    </row>
    <row r="5" spans="1:47" x14ac:dyDescent="0.25">
      <c r="H5" s="120" t="s">
        <v>177</v>
      </c>
      <c r="I5" s="775">
        <v>2.2959999999999998</v>
      </c>
      <c r="J5" s="775">
        <v>2.206</v>
      </c>
      <c r="K5" s="775">
        <v>2.125</v>
      </c>
      <c r="L5" s="775">
        <v>1.861</v>
      </c>
      <c r="M5" s="775">
        <v>1.6579999999999999</v>
      </c>
      <c r="N5" s="775">
        <v>1.464</v>
      </c>
      <c r="O5" s="775">
        <v>1.4570000000000001</v>
      </c>
      <c r="P5" s="775">
        <v>1.21</v>
      </c>
      <c r="Q5" s="775">
        <v>1.175</v>
      </c>
      <c r="R5" s="775">
        <v>0.92200000000000004</v>
      </c>
      <c r="S5" s="775">
        <v>0.74099999999999999</v>
      </c>
      <c r="T5" s="775">
        <v>0.73899999999999999</v>
      </c>
      <c r="U5" s="775">
        <v>0.377</v>
      </c>
      <c r="V5" s="775">
        <v>0.629</v>
      </c>
      <c r="W5" s="775">
        <v>0.46</v>
      </c>
      <c r="X5" s="775">
        <v>0.55800000000000005</v>
      </c>
      <c r="Y5" s="775">
        <v>0.82</v>
      </c>
      <c r="Z5" s="775">
        <v>1.258</v>
      </c>
      <c r="AA5" s="775">
        <v>0.90100000000000002</v>
      </c>
      <c r="AB5" s="775">
        <v>0.88</v>
      </c>
      <c r="AC5" s="775">
        <v>0.66</v>
      </c>
      <c r="AD5" s="775">
        <v>0.501</v>
      </c>
      <c r="AE5" s="775">
        <v>0.44700000000000001</v>
      </c>
      <c r="AF5" s="775">
        <v>0.52900000000000003</v>
      </c>
      <c r="AG5" s="775">
        <v>0.61199999999999999</v>
      </c>
      <c r="AH5" s="775">
        <v>0.33200000000000002</v>
      </c>
      <c r="AI5" s="775">
        <v>0.40699999999999997</v>
      </c>
      <c r="AJ5" s="775">
        <v>0.48899999999999999</v>
      </c>
      <c r="AK5" s="775">
        <v>0.55000000000000004</v>
      </c>
      <c r="AL5" s="775">
        <v>0.45200000000000001</v>
      </c>
      <c r="AM5" s="775">
        <v>0.35299999999999998</v>
      </c>
      <c r="AN5" s="775">
        <v>0.27300000000000002</v>
      </c>
      <c r="AO5" s="775">
        <v>0.26400000000000001</v>
      </c>
      <c r="AP5" s="775">
        <v>0.48099999999999998</v>
      </c>
      <c r="AQ5" s="775">
        <v>0.54900000000000004</v>
      </c>
      <c r="AR5" s="775">
        <v>0.434</v>
      </c>
      <c r="AS5" s="775">
        <v>0.439</v>
      </c>
      <c r="AT5" s="775">
        <v>0.61299999999999999</v>
      </c>
    </row>
    <row r="6" spans="1:47" x14ac:dyDescent="0.25">
      <c r="H6" s="120" t="s">
        <v>12</v>
      </c>
      <c r="I6" s="775">
        <v>2.9140000000000001</v>
      </c>
      <c r="J6" s="775">
        <v>2.6520000000000001</v>
      </c>
      <c r="K6" s="775">
        <v>2.601</v>
      </c>
      <c r="L6" s="775">
        <v>2.4359999999999999</v>
      </c>
      <c r="M6" s="775">
        <v>2.2149999999999999</v>
      </c>
      <c r="N6" s="775">
        <v>2.121</v>
      </c>
      <c r="O6" s="775">
        <v>1.948</v>
      </c>
      <c r="P6" s="775">
        <v>1.702</v>
      </c>
      <c r="Q6" s="775">
        <v>1.71</v>
      </c>
      <c r="R6" s="775">
        <v>1.494</v>
      </c>
      <c r="S6" s="775">
        <v>1.343</v>
      </c>
      <c r="T6" s="775">
        <v>1.264</v>
      </c>
      <c r="U6" s="775">
        <v>0.96599999999999997</v>
      </c>
      <c r="V6" s="775">
        <v>0.69799999999999995</v>
      </c>
      <c r="W6" s="775">
        <v>0.67900000000000005</v>
      </c>
      <c r="X6" s="775">
        <v>0.78700000000000003</v>
      </c>
      <c r="Y6" s="775">
        <v>1.266</v>
      </c>
      <c r="Z6" s="775">
        <v>1.8319999999999999</v>
      </c>
      <c r="AA6" s="775">
        <v>1.4729999999999999</v>
      </c>
      <c r="AB6" s="775">
        <v>1.399</v>
      </c>
      <c r="AC6" s="775">
        <v>1.399</v>
      </c>
      <c r="AD6" s="775">
        <v>1.343</v>
      </c>
      <c r="AE6" s="775">
        <v>1.2070000000000001</v>
      </c>
      <c r="AF6" s="775">
        <v>1.2190000000000001</v>
      </c>
      <c r="AG6" s="775">
        <v>1.5550000000000002</v>
      </c>
      <c r="AH6" s="775">
        <v>1.2589999999999999</v>
      </c>
      <c r="AI6" s="775">
        <v>1.252</v>
      </c>
      <c r="AJ6" s="775">
        <v>1.252</v>
      </c>
      <c r="AK6" s="775">
        <v>1.2210000000000001</v>
      </c>
      <c r="AL6" s="775">
        <v>1.1419999999999999</v>
      </c>
      <c r="AM6" s="775">
        <v>0.73099999999999998</v>
      </c>
      <c r="AN6" s="775">
        <v>0.58799999999999997</v>
      </c>
      <c r="AO6" s="775">
        <v>0.57599999999999996</v>
      </c>
      <c r="AP6" s="775">
        <v>0.70899999999999996</v>
      </c>
      <c r="AQ6" s="775">
        <v>1.3220000000000001</v>
      </c>
      <c r="AR6" s="775">
        <v>1.2770000000000001</v>
      </c>
      <c r="AS6" s="775">
        <v>1.3420000000000001</v>
      </c>
      <c r="AT6" s="775">
        <v>1.2789999999999999</v>
      </c>
    </row>
    <row r="7" spans="1:47" x14ac:dyDescent="0.25">
      <c r="H7" s="120"/>
    </row>
    <row r="8" spans="1:47" x14ac:dyDescent="0.25">
      <c r="H8" s="120"/>
    </row>
    <row r="9" spans="1:47" ht="14.25" thickBot="1" x14ac:dyDescent="0.3">
      <c r="H9" s="53"/>
      <c r="I9" s="776">
        <v>41640</v>
      </c>
      <c r="J9" s="776">
        <v>41671</v>
      </c>
      <c r="K9" s="776">
        <v>41699</v>
      </c>
      <c r="L9" s="776">
        <v>41730</v>
      </c>
      <c r="M9" s="776">
        <v>41760</v>
      </c>
      <c r="N9" s="776">
        <v>41791</v>
      </c>
      <c r="O9" s="776">
        <v>41821</v>
      </c>
      <c r="P9" s="776">
        <v>41852</v>
      </c>
      <c r="Q9" s="776">
        <v>41883</v>
      </c>
      <c r="R9" s="776">
        <v>41913</v>
      </c>
      <c r="S9" s="776">
        <v>41944</v>
      </c>
      <c r="T9" s="776">
        <v>41974</v>
      </c>
      <c r="U9" s="776">
        <v>42005</v>
      </c>
      <c r="V9" s="776">
        <v>42036</v>
      </c>
      <c r="W9" s="776">
        <v>42064</v>
      </c>
      <c r="X9" s="776">
        <v>42095</v>
      </c>
      <c r="Y9" s="776">
        <v>42125</v>
      </c>
      <c r="Z9" s="776">
        <v>42156</v>
      </c>
      <c r="AA9" s="776">
        <v>42186</v>
      </c>
      <c r="AB9" s="776">
        <v>42217</v>
      </c>
      <c r="AC9" s="776">
        <v>42248</v>
      </c>
      <c r="AD9" s="776">
        <v>42278</v>
      </c>
      <c r="AE9" s="776">
        <v>42309</v>
      </c>
      <c r="AF9" s="776">
        <v>42339</v>
      </c>
      <c r="AG9" s="776">
        <v>42370</v>
      </c>
      <c r="AH9" s="776">
        <v>42401</v>
      </c>
      <c r="AI9" s="776">
        <v>42430</v>
      </c>
      <c r="AJ9" s="776">
        <v>42461</v>
      </c>
      <c r="AK9" s="776">
        <v>42491</v>
      </c>
      <c r="AL9" s="776">
        <v>42522</v>
      </c>
      <c r="AM9" s="776">
        <v>42552</v>
      </c>
      <c r="AN9" s="776">
        <v>42583</v>
      </c>
      <c r="AO9" s="776">
        <v>42614</v>
      </c>
      <c r="AP9" s="776">
        <v>42644</v>
      </c>
      <c r="AQ9" s="776">
        <v>42675</v>
      </c>
      <c r="AR9" s="776">
        <v>42705</v>
      </c>
      <c r="AS9" s="776">
        <v>42736</v>
      </c>
      <c r="AT9" s="776">
        <v>42767</v>
      </c>
    </row>
    <row r="10" spans="1:47" x14ac:dyDescent="0.25">
      <c r="H10" s="120" t="s">
        <v>333</v>
      </c>
      <c r="I10" s="775">
        <v>0.8</v>
      </c>
      <c r="J10" s="775">
        <v>0.7</v>
      </c>
      <c r="K10" s="775">
        <v>0.5</v>
      </c>
      <c r="L10" s="775">
        <v>0.7</v>
      </c>
      <c r="M10" s="775">
        <v>0.5</v>
      </c>
      <c r="N10" s="775">
        <v>0.5</v>
      </c>
      <c r="O10" s="775">
        <v>0.4</v>
      </c>
      <c r="P10" s="775">
        <v>0.4</v>
      </c>
      <c r="Q10" s="775">
        <v>0.3</v>
      </c>
      <c r="R10" s="775">
        <v>0.4</v>
      </c>
      <c r="S10" s="775">
        <v>0.3</v>
      </c>
      <c r="T10" s="775">
        <v>-0.2</v>
      </c>
      <c r="U10" s="775">
        <v>-0.6</v>
      </c>
      <c r="V10" s="775">
        <v>-0.3</v>
      </c>
      <c r="W10" s="775">
        <v>-0.1</v>
      </c>
      <c r="X10" s="775">
        <v>0</v>
      </c>
      <c r="Y10" s="775">
        <v>0.3</v>
      </c>
      <c r="Z10" s="775">
        <v>0.2</v>
      </c>
      <c r="AA10" s="775">
        <v>0.2</v>
      </c>
      <c r="AB10" s="775">
        <v>0.1</v>
      </c>
      <c r="AC10" s="775">
        <v>-0.1</v>
      </c>
      <c r="AD10" s="775">
        <v>0.1</v>
      </c>
      <c r="AE10" s="775">
        <v>0.1</v>
      </c>
      <c r="AF10" s="775">
        <v>0.2</v>
      </c>
      <c r="AG10" s="775">
        <v>0.3</v>
      </c>
      <c r="AH10" s="775">
        <v>-0.2</v>
      </c>
      <c r="AI10" s="775">
        <v>0</v>
      </c>
      <c r="AJ10" s="775">
        <v>-0.2</v>
      </c>
      <c r="AK10" s="775">
        <v>-0.1</v>
      </c>
      <c r="AL10" s="775">
        <v>0.1</v>
      </c>
      <c r="AM10" s="775">
        <v>0.2</v>
      </c>
      <c r="AN10" s="775">
        <v>0.2</v>
      </c>
      <c r="AO10" s="775">
        <v>0.4</v>
      </c>
      <c r="AP10" s="775">
        <v>0.5</v>
      </c>
      <c r="AQ10" s="775">
        <v>0.6</v>
      </c>
      <c r="AR10" s="775">
        <v>1.1000000000000001</v>
      </c>
      <c r="AS10" s="775">
        <v>1.8</v>
      </c>
      <c r="AT10" s="775">
        <v>2</v>
      </c>
      <c r="AU10" s="775"/>
    </row>
    <row r="11" spans="1:47" x14ac:dyDescent="0.25">
      <c r="H11" s="120" t="s">
        <v>693</v>
      </c>
      <c r="I11" s="41">
        <v>2.1150000000000002</v>
      </c>
      <c r="J11" s="41">
        <v>2.1288</v>
      </c>
      <c r="K11" s="41">
        <v>2.1103999999999998</v>
      </c>
      <c r="L11" s="41">
        <v>2.069</v>
      </c>
      <c r="M11" s="41">
        <v>2.048</v>
      </c>
      <c r="N11" s="41">
        <v>2.137</v>
      </c>
      <c r="O11" s="41">
        <v>2.1019999999999999</v>
      </c>
      <c r="P11" s="41">
        <v>2.0125000000000002</v>
      </c>
      <c r="Q11" s="41">
        <v>1.9370000000000001</v>
      </c>
      <c r="R11" s="41">
        <v>1.8325</v>
      </c>
      <c r="S11" s="41">
        <v>1.7605</v>
      </c>
      <c r="T11" s="41">
        <v>1.7269999999999999</v>
      </c>
      <c r="U11" s="41">
        <v>1.575</v>
      </c>
      <c r="V11" s="41">
        <v>1.6175000000000002</v>
      </c>
      <c r="W11" s="41">
        <v>1.635</v>
      </c>
      <c r="X11" s="41">
        <v>1.7650000000000001</v>
      </c>
      <c r="Y11" s="41">
        <v>1.722</v>
      </c>
      <c r="Z11" s="41">
        <v>1.845</v>
      </c>
      <c r="AA11" s="41">
        <v>1.77</v>
      </c>
      <c r="AB11" s="41">
        <v>1.677</v>
      </c>
      <c r="AC11" s="41">
        <v>1.56</v>
      </c>
      <c r="AD11" s="41">
        <v>1.7149999999999999</v>
      </c>
      <c r="AE11" s="41">
        <v>1.7925</v>
      </c>
      <c r="AF11" s="41">
        <v>1.6825000000000001</v>
      </c>
      <c r="AG11" s="41">
        <v>1.5150000000000001</v>
      </c>
      <c r="AH11" s="41">
        <v>1.361</v>
      </c>
      <c r="AI11" s="41">
        <v>1.407</v>
      </c>
      <c r="AJ11" s="41">
        <v>1.4710000000000001</v>
      </c>
      <c r="AK11" s="41">
        <v>1.4750000000000001</v>
      </c>
      <c r="AL11" s="41">
        <v>1.3180000000000001</v>
      </c>
      <c r="AM11" s="41">
        <v>1.3395999999999999</v>
      </c>
      <c r="AN11" s="41">
        <v>1.302</v>
      </c>
      <c r="AO11" s="41">
        <v>1.355</v>
      </c>
      <c r="AP11" s="41">
        <v>1.4647000000000001</v>
      </c>
      <c r="AQ11" s="41">
        <v>1.619</v>
      </c>
      <c r="AR11" s="41">
        <v>1.7435</v>
      </c>
      <c r="AS11" s="41">
        <v>1.8</v>
      </c>
      <c r="AT11" s="41">
        <v>1.696</v>
      </c>
    </row>
    <row r="12" spans="1:47" x14ac:dyDescent="0.25">
      <c r="H12" s="120" t="s">
        <v>334</v>
      </c>
      <c r="I12" s="41">
        <v>2</v>
      </c>
      <c r="J12" s="41">
        <v>2</v>
      </c>
      <c r="K12" s="41">
        <v>2</v>
      </c>
      <c r="L12" s="41">
        <v>2</v>
      </c>
      <c r="M12" s="41">
        <v>2</v>
      </c>
      <c r="N12" s="41">
        <v>2</v>
      </c>
      <c r="O12" s="41">
        <v>2</v>
      </c>
      <c r="P12" s="41">
        <v>2</v>
      </c>
      <c r="Q12" s="41">
        <v>2</v>
      </c>
      <c r="R12" s="41">
        <v>2</v>
      </c>
      <c r="S12" s="41">
        <v>2</v>
      </c>
      <c r="T12" s="41">
        <v>2</v>
      </c>
      <c r="U12" s="41">
        <v>2</v>
      </c>
      <c r="V12" s="41">
        <v>2</v>
      </c>
      <c r="W12" s="41">
        <v>2</v>
      </c>
      <c r="X12" s="41">
        <v>2</v>
      </c>
      <c r="Y12" s="41">
        <v>2</v>
      </c>
      <c r="Z12" s="41">
        <v>2</v>
      </c>
      <c r="AA12" s="41">
        <v>2</v>
      </c>
      <c r="AB12" s="41">
        <v>2</v>
      </c>
      <c r="AC12" s="41">
        <v>2</v>
      </c>
      <c r="AD12" s="41">
        <v>2</v>
      </c>
      <c r="AE12" s="41">
        <v>2</v>
      </c>
      <c r="AF12" s="41">
        <v>2</v>
      </c>
      <c r="AG12" s="41">
        <v>2</v>
      </c>
      <c r="AH12" s="41">
        <v>2</v>
      </c>
      <c r="AI12" s="41">
        <v>2</v>
      </c>
      <c r="AJ12" s="41">
        <v>2</v>
      </c>
      <c r="AK12" s="41">
        <v>2</v>
      </c>
      <c r="AL12" s="41">
        <v>2</v>
      </c>
      <c r="AM12" s="41">
        <v>2</v>
      </c>
      <c r="AN12" s="41">
        <v>2</v>
      </c>
      <c r="AO12" s="41">
        <v>2</v>
      </c>
      <c r="AP12" s="41">
        <v>2</v>
      </c>
      <c r="AQ12" s="41">
        <v>2</v>
      </c>
      <c r="AR12" s="41">
        <v>2</v>
      </c>
      <c r="AS12" s="41">
        <v>2</v>
      </c>
      <c r="AT12" s="41">
        <v>2</v>
      </c>
    </row>
    <row r="13" spans="1:47" x14ac:dyDescent="0.25"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</row>
    <row r="14" spans="1:47" x14ac:dyDescent="0.25">
      <c r="K14" s="775"/>
    </row>
    <row r="17" spans="1:47" ht="14.25" thickBot="1" x14ac:dyDescent="0.3">
      <c r="A17" s="918" t="s">
        <v>284</v>
      </c>
      <c r="B17" s="918"/>
      <c r="D17" s="918" t="s">
        <v>709</v>
      </c>
      <c r="E17" s="918"/>
      <c r="H17" s="52"/>
      <c r="I17" s="774">
        <v>41640</v>
      </c>
      <c r="J17" s="774">
        <v>41671</v>
      </c>
      <c r="K17" s="774">
        <v>41699</v>
      </c>
      <c r="L17" s="774">
        <v>41730</v>
      </c>
      <c r="M17" s="774">
        <v>41760</v>
      </c>
      <c r="N17" s="774">
        <v>41791</v>
      </c>
      <c r="O17" s="774">
        <v>41821</v>
      </c>
      <c r="P17" s="774">
        <v>41852</v>
      </c>
      <c r="Q17" s="774">
        <v>41883</v>
      </c>
      <c r="R17" s="774">
        <v>41913</v>
      </c>
      <c r="S17" s="774">
        <v>41944</v>
      </c>
      <c r="T17" s="774">
        <v>41974</v>
      </c>
      <c r="U17" s="774">
        <v>42005</v>
      </c>
      <c r="V17" s="774">
        <v>42036</v>
      </c>
      <c r="W17" s="774">
        <v>42064</v>
      </c>
      <c r="X17" s="774">
        <v>42095</v>
      </c>
      <c r="Y17" s="774">
        <v>42125</v>
      </c>
      <c r="Z17" s="774">
        <v>42156</v>
      </c>
      <c r="AA17" s="774">
        <v>42186</v>
      </c>
      <c r="AB17" s="774">
        <v>42217</v>
      </c>
      <c r="AC17" s="774">
        <v>42248</v>
      </c>
      <c r="AD17" s="774">
        <v>42278</v>
      </c>
      <c r="AE17" s="774">
        <v>42309</v>
      </c>
      <c r="AF17" s="774">
        <v>42339</v>
      </c>
      <c r="AG17" s="774">
        <v>42370</v>
      </c>
      <c r="AH17" s="774">
        <v>42401</v>
      </c>
      <c r="AI17" s="774">
        <v>42430</v>
      </c>
      <c r="AJ17" s="774">
        <v>42461</v>
      </c>
      <c r="AK17" s="774">
        <v>42491</v>
      </c>
      <c r="AL17" s="774">
        <v>42522</v>
      </c>
      <c r="AM17" s="774">
        <v>42552</v>
      </c>
      <c r="AN17" s="774">
        <v>42583</v>
      </c>
      <c r="AO17" s="774">
        <v>42614</v>
      </c>
      <c r="AP17" s="774">
        <v>42644</v>
      </c>
      <c r="AQ17" s="774">
        <v>42675</v>
      </c>
      <c r="AR17" s="774">
        <v>42705</v>
      </c>
      <c r="AS17" s="774">
        <v>42736</v>
      </c>
      <c r="AT17" s="774">
        <v>42767</v>
      </c>
    </row>
    <row r="18" spans="1:47" ht="27" customHeight="1" thickBot="1" x14ac:dyDescent="0.3">
      <c r="A18" s="919" t="s">
        <v>599</v>
      </c>
      <c r="B18" s="919"/>
      <c r="D18" s="919" t="s">
        <v>708</v>
      </c>
      <c r="E18" s="919"/>
      <c r="H18" s="120" t="s">
        <v>367</v>
      </c>
      <c r="I18" s="41">
        <v>2.5230000000000001</v>
      </c>
      <c r="J18" s="41">
        <v>2.258</v>
      </c>
      <c r="K18" s="41">
        <v>2.1739999999999999</v>
      </c>
      <c r="L18" s="41">
        <v>2.375</v>
      </c>
      <c r="M18" s="41">
        <v>2.2370000000000001</v>
      </c>
      <c r="N18" s="41">
        <v>2.0880000000000001</v>
      </c>
      <c r="O18" s="41">
        <v>1.9750000000000001</v>
      </c>
      <c r="P18" s="41">
        <v>1.716</v>
      </c>
      <c r="Q18" s="41">
        <v>1.53</v>
      </c>
      <c r="R18" s="41">
        <v>1.47</v>
      </c>
      <c r="S18" s="41">
        <v>1.3679999999999999</v>
      </c>
      <c r="T18" s="41">
        <v>1.167</v>
      </c>
      <c r="U18" s="41">
        <v>0.77500000000000002</v>
      </c>
      <c r="V18" s="41">
        <v>0.8</v>
      </c>
      <c r="W18" s="41">
        <v>0.51200000000000001</v>
      </c>
      <c r="X18" s="41">
        <v>0.54900000000000004</v>
      </c>
      <c r="Y18" s="41">
        <v>0.82</v>
      </c>
      <c r="Z18" s="41">
        <v>1.383</v>
      </c>
      <c r="AA18" s="41">
        <v>0.97399999999999998</v>
      </c>
      <c r="AB18" s="41">
        <v>1.1120000000000001</v>
      </c>
      <c r="AC18" s="41">
        <v>0.82699999999999996</v>
      </c>
      <c r="AD18" s="41">
        <v>0.77300000000000002</v>
      </c>
      <c r="AE18" s="41">
        <v>0.65900000000000003</v>
      </c>
      <c r="AF18" s="41">
        <v>0.78400000000000003</v>
      </c>
      <c r="AG18" s="41">
        <v>0.629</v>
      </c>
      <c r="AH18" s="41">
        <v>0.41</v>
      </c>
      <c r="AI18" s="41">
        <v>0.39900000000000002</v>
      </c>
      <c r="AJ18" s="41">
        <v>0.52300000000000002</v>
      </c>
      <c r="AK18" s="41">
        <v>0.88800000000000001</v>
      </c>
      <c r="AL18" s="41">
        <v>0.63700000000000001</v>
      </c>
      <c r="AM18" s="41">
        <v>0.33200000000000002</v>
      </c>
      <c r="AN18" s="41">
        <v>0.30499999999999999</v>
      </c>
      <c r="AO18" s="41">
        <v>0.30399999999999999</v>
      </c>
      <c r="AP18" s="41">
        <v>0.57999999999999996</v>
      </c>
      <c r="AQ18" s="41">
        <v>1.0329999999999999</v>
      </c>
      <c r="AR18" s="41">
        <v>0.94399999999999995</v>
      </c>
      <c r="AS18" s="41">
        <v>1.1080000000000001</v>
      </c>
      <c r="AT18" s="41">
        <v>1.044</v>
      </c>
    </row>
    <row r="19" spans="1:47" x14ac:dyDescent="0.25">
      <c r="H19" s="120" t="s">
        <v>355</v>
      </c>
      <c r="I19" s="41">
        <v>1.659</v>
      </c>
      <c r="J19" s="41">
        <v>1.6240000000000001</v>
      </c>
      <c r="K19" s="41">
        <v>1.5659999999999998</v>
      </c>
      <c r="L19" s="41">
        <v>1.4689999999999999</v>
      </c>
      <c r="M19" s="41">
        <v>1.3580000000000001</v>
      </c>
      <c r="N19" s="41">
        <v>1.2450000000000001</v>
      </c>
      <c r="O19" s="41">
        <v>1.155</v>
      </c>
      <c r="P19" s="41">
        <v>0.89</v>
      </c>
      <c r="Q19" s="41">
        <v>0.94699999999999995</v>
      </c>
      <c r="R19" s="41">
        <v>0.84099999999999997</v>
      </c>
      <c r="S19" s="41">
        <v>0.7</v>
      </c>
      <c r="T19" s="41">
        <v>0.54100000000000004</v>
      </c>
      <c r="U19" s="41">
        <v>0.30199999999999999</v>
      </c>
      <c r="V19" s="41">
        <v>0.32800000000000001</v>
      </c>
      <c r="W19" s="41">
        <v>0.18</v>
      </c>
      <c r="X19" s="41">
        <v>0.36599999999999999</v>
      </c>
      <c r="Y19" s="41">
        <v>0.48699999999999999</v>
      </c>
      <c r="Z19" s="41">
        <v>0.76400000000000001</v>
      </c>
      <c r="AA19" s="41">
        <v>0.64400000000000002</v>
      </c>
      <c r="AB19" s="41">
        <v>0.79800000000000004</v>
      </c>
      <c r="AC19" s="41">
        <v>0.58699999999999997</v>
      </c>
      <c r="AD19" s="41">
        <v>0.51700000000000002</v>
      </c>
      <c r="AE19" s="41">
        <v>0.47299999999999998</v>
      </c>
      <c r="AF19" s="41">
        <v>0.629</v>
      </c>
      <c r="AG19" s="41">
        <v>0.32500000000000001</v>
      </c>
      <c r="AH19" s="41">
        <v>0.107</v>
      </c>
      <c r="AI19" s="41">
        <v>0.153</v>
      </c>
      <c r="AJ19" s="41">
        <v>0.27100000000000002</v>
      </c>
      <c r="AK19" s="41">
        <v>0.13900000000000001</v>
      </c>
      <c r="AL19" s="41">
        <v>-0.13</v>
      </c>
      <c r="AM19" s="41">
        <v>-0.11899999999999999</v>
      </c>
      <c r="AN19" s="41">
        <v>-6.5000000000000002E-2</v>
      </c>
      <c r="AO19" s="41">
        <v>-0.11899999999999999</v>
      </c>
      <c r="AP19" s="41">
        <v>0.16300000000000001</v>
      </c>
      <c r="AQ19" s="41">
        <v>0.27500000000000002</v>
      </c>
      <c r="AR19" s="41">
        <v>0.20799999999999999</v>
      </c>
      <c r="AS19" s="41">
        <v>0.436</v>
      </c>
      <c r="AT19" s="41">
        <v>0.20799999999999999</v>
      </c>
    </row>
    <row r="20" spans="1:47" ht="22.5" customHeight="1" x14ac:dyDescent="0.25">
      <c r="H20" s="120" t="s">
        <v>368</v>
      </c>
      <c r="I20" s="41">
        <v>3.6589999999999998</v>
      </c>
      <c r="J20" s="41">
        <v>3.5089999999999999</v>
      </c>
      <c r="K20" s="41">
        <v>3.23</v>
      </c>
      <c r="L20" s="41">
        <v>3.0150000000000001</v>
      </c>
      <c r="M20" s="41">
        <v>2.8540000000000001</v>
      </c>
      <c r="N20" s="41">
        <v>2.661</v>
      </c>
      <c r="O20" s="41">
        <v>2.5049999999999999</v>
      </c>
      <c r="P20" s="41">
        <v>2.2290000000000001</v>
      </c>
      <c r="Q20" s="41">
        <v>2.14</v>
      </c>
      <c r="R20" s="41">
        <v>2.0760000000000001</v>
      </c>
      <c r="S20" s="41">
        <v>1.895</v>
      </c>
      <c r="T20" s="41">
        <v>1.611</v>
      </c>
      <c r="U20" s="41">
        <v>1.423</v>
      </c>
      <c r="V20" s="41">
        <v>1.26</v>
      </c>
      <c r="W20" s="41">
        <v>1.212</v>
      </c>
      <c r="X20" s="41">
        <v>1.468</v>
      </c>
      <c r="Y20" s="41">
        <v>1.8380000000000001</v>
      </c>
      <c r="Z20" s="41">
        <v>2.3010000000000002</v>
      </c>
      <c r="AA20" s="41">
        <v>1.8420000000000001</v>
      </c>
      <c r="AB20" s="41">
        <v>2.109</v>
      </c>
      <c r="AC20" s="41">
        <v>1.8919999999999999</v>
      </c>
      <c r="AD20" s="41">
        <v>1.6720000000000002</v>
      </c>
      <c r="AE20" s="41">
        <v>1.5209999999999999</v>
      </c>
      <c r="AF20" s="41">
        <v>1.7709999999999999</v>
      </c>
      <c r="AG20" s="41">
        <v>1.512</v>
      </c>
      <c r="AH20" s="41">
        <v>1.53</v>
      </c>
      <c r="AI20" s="41">
        <v>1.4370000000000001</v>
      </c>
      <c r="AJ20" s="41">
        <v>1.593</v>
      </c>
      <c r="AK20" s="41">
        <v>1.4729999999999999</v>
      </c>
      <c r="AL20" s="41">
        <v>1.163</v>
      </c>
      <c r="AM20" s="41">
        <v>1.0189999999999999</v>
      </c>
      <c r="AN20" s="41">
        <v>1.0129999999999999</v>
      </c>
      <c r="AO20" s="41">
        <v>0.88</v>
      </c>
      <c r="AP20" s="41">
        <v>1.1990000000000001</v>
      </c>
      <c r="AQ20" s="41">
        <v>1.5510000000000002</v>
      </c>
      <c r="AR20" s="41">
        <v>1.3839999999999999</v>
      </c>
      <c r="AS20" s="41">
        <v>1.5979999999999999</v>
      </c>
      <c r="AT20" s="41">
        <v>1.655</v>
      </c>
    </row>
    <row r="21" spans="1:47" x14ac:dyDescent="0.25">
      <c r="H21" s="120" t="s">
        <v>356</v>
      </c>
      <c r="I21" s="41">
        <v>2.2959999999999998</v>
      </c>
      <c r="J21" s="41">
        <v>2.206</v>
      </c>
      <c r="K21" s="41">
        <v>2.125</v>
      </c>
      <c r="L21" s="41">
        <v>1.861</v>
      </c>
      <c r="M21" s="41">
        <v>1.6579999999999999</v>
      </c>
      <c r="N21" s="41">
        <v>1.464</v>
      </c>
      <c r="O21" s="41">
        <v>1.4570000000000001</v>
      </c>
      <c r="P21" s="41">
        <v>1.21</v>
      </c>
      <c r="Q21" s="41">
        <v>1.175</v>
      </c>
      <c r="R21" s="41">
        <v>0.92200000000000004</v>
      </c>
      <c r="S21" s="41">
        <v>0.74099999999999999</v>
      </c>
      <c r="T21" s="41">
        <v>0.73899999999999999</v>
      </c>
      <c r="U21" s="41">
        <v>0.377</v>
      </c>
      <c r="V21" s="41">
        <v>0.629</v>
      </c>
      <c r="W21" s="41">
        <v>0.46</v>
      </c>
      <c r="X21" s="41">
        <v>0.55800000000000005</v>
      </c>
      <c r="Y21" s="41">
        <v>0.82</v>
      </c>
      <c r="Z21" s="41">
        <v>1.258</v>
      </c>
      <c r="AA21" s="41">
        <v>0.90100000000000002</v>
      </c>
      <c r="AB21" s="41">
        <v>0.88</v>
      </c>
      <c r="AC21" s="41">
        <v>0.66</v>
      </c>
      <c r="AD21" s="41">
        <v>0.501</v>
      </c>
      <c r="AE21" s="41">
        <v>0.44700000000000001</v>
      </c>
      <c r="AF21" s="41">
        <v>0.52900000000000003</v>
      </c>
      <c r="AG21" s="41">
        <v>0.61199999999999999</v>
      </c>
      <c r="AH21" s="41">
        <v>0.33200000000000002</v>
      </c>
      <c r="AI21" s="41">
        <v>0.40699999999999997</v>
      </c>
      <c r="AJ21" s="41">
        <v>0.48899999999999999</v>
      </c>
      <c r="AK21" s="41">
        <v>0.55000000000000004</v>
      </c>
      <c r="AL21" s="41">
        <v>0.45200000000000001</v>
      </c>
      <c r="AM21" s="41">
        <v>0.35299999999999998</v>
      </c>
      <c r="AN21" s="41">
        <v>0.27300000000000002</v>
      </c>
      <c r="AO21" s="41">
        <v>0.26400000000000001</v>
      </c>
      <c r="AP21" s="41">
        <v>0.48099999999999998</v>
      </c>
      <c r="AQ21" s="41">
        <v>0.54900000000000004</v>
      </c>
      <c r="AR21" s="41">
        <v>0.434</v>
      </c>
      <c r="AS21" s="41">
        <v>0.439</v>
      </c>
      <c r="AT21" s="41">
        <v>0.61299999999999999</v>
      </c>
    </row>
    <row r="22" spans="1:47" x14ac:dyDescent="0.25">
      <c r="H22" s="120" t="s">
        <v>357</v>
      </c>
      <c r="I22" s="41">
        <v>2.9140000000000001</v>
      </c>
      <c r="J22" s="41">
        <v>2.6520000000000001</v>
      </c>
      <c r="K22" s="41">
        <v>2.601</v>
      </c>
      <c r="L22" s="41">
        <v>2.4359999999999999</v>
      </c>
      <c r="M22" s="41">
        <v>2.2149999999999999</v>
      </c>
      <c r="N22" s="41">
        <v>2.121</v>
      </c>
      <c r="O22" s="41">
        <v>1.948</v>
      </c>
      <c r="P22" s="41">
        <v>1.702</v>
      </c>
      <c r="Q22" s="41">
        <v>1.71</v>
      </c>
      <c r="R22" s="41">
        <v>1.494</v>
      </c>
      <c r="S22" s="41">
        <v>1.343</v>
      </c>
      <c r="T22" s="41">
        <v>1.264</v>
      </c>
      <c r="U22" s="41">
        <v>0.96599999999999997</v>
      </c>
      <c r="V22" s="41">
        <v>0.69799999999999995</v>
      </c>
      <c r="W22" s="41">
        <v>0.67900000000000005</v>
      </c>
      <c r="X22" s="41">
        <v>0.78700000000000003</v>
      </c>
      <c r="Y22" s="41">
        <v>1.266</v>
      </c>
      <c r="Z22" s="41">
        <v>1.8319999999999999</v>
      </c>
      <c r="AA22" s="41">
        <v>1.4729999999999999</v>
      </c>
      <c r="AB22" s="41">
        <v>1.399</v>
      </c>
      <c r="AC22" s="41">
        <v>1.399</v>
      </c>
      <c r="AD22" s="41">
        <v>1.343</v>
      </c>
      <c r="AE22" s="41">
        <v>1.2070000000000001</v>
      </c>
      <c r="AF22" s="41">
        <v>1.2190000000000001</v>
      </c>
      <c r="AG22" s="41">
        <v>1.5550000000000002</v>
      </c>
      <c r="AH22" s="41">
        <v>1.2589999999999999</v>
      </c>
      <c r="AI22" s="41">
        <v>1.252</v>
      </c>
      <c r="AJ22" s="41">
        <v>1.252</v>
      </c>
      <c r="AK22" s="41">
        <v>1.2210000000000001</v>
      </c>
      <c r="AL22" s="41">
        <v>1.1419999999999999</v>
      </c>
      <c r="AM22" s="41">
        <v>0.73099999999999998</v>
      </c>
      <c r="AN22" s="41">
        <v>0.58799999999999997</v>
      </c>
      <c r="AO22" s="41">
        <v>0.57599999999999996</v>
      </c>
      <c r="AP22" s="41">
        <v>0.70899999999999996</v>
      </c>
      <c r="AQ22" s="41">
        <v>1.3220000000000001</v>
      </c>
      <c r="AR22" s="41">
        <v>1.2770000000000001</v>
      </c>
      <c r="AS22" s="41">
        <v>1.3420000000000001</v>
      </c>
      <c r="AT22" s="41">
        <v>1.2789999999999999</v>
      </c>
    </row>
    <row r="23" spans="1:47" x14ac:dyDescent="0.25">
      <c r="A23" s="733"/>
      <c r="B23" s="733"/>
      <c r="C23" s="766"/>
      <c r="D23" s="733"/>
      <c r="E23" s="733"/>
      <c r="H23" s="120"/>
    </row>
    <row r="24" spans="1:47" x14ac:dyDescent="0.25">
      <c r="H24" s="120"/>
    </row>
    <row r="25" spans="1:47" s="733" customFormat="1" ht="14.25" thickBot="1" x14ac:dyDescent="0.3">
      <c r="A25" s="40"/>
      <c r="B25" s="40"/>
      <c r="C25" s="393"/>
      <c r="D25" s="40"/>
      <c r="E25" s="40"/>
      <c r="H25" s="53"/>
      <c r="I25" s="776">
        <v>41640</v>
      </c>
      <c r="J25" s="776">
        <v>41671</v>
      </c>
      <c r="K25" s="776">
        <v>41699</v>
      </c>
      <c r="L25" s="776">
        <v>41730</v>
      </c>
      <c r="M25" s="776">
        <v>41760</v>
      </c>
      <c r="N25" s="776">
        <v>41791</v>
      </c>
      <c r="O25" s="776">
        <v>41821</v>
      </c>
      <c r="P25" s="776">
        <v>41852</v>
      </c>
      <c r="Q25" s="776">
        <v>41883</v>
      </c>
      <c r="R25" s="776">
        <v>41913</v>
      </c>
      <c r="S25" s="776">
        <v>41944</v>
      </c>
      <c r="T25" s="776">
        <v>41974</v>
      </c>
      <c r="U25" s="776">
        <v>42005</v>
      </c>
      <c r="V25" s="776">
        <v>42036</v>
      </c>
      <c r="W25" s="776">
        <v>42064</v>
      </c>
      <c r="X25" s="776">
        <v>42095</v>
      </c>
      <c r="Y25" s="776">
        <v>42125</v>
      </c>
      <c r="Z25" s="776">
        <v>42156</v>
      </c>
      <c r="AA25" s="776">
        <v>42186</v>
      </c>
      <c r="AB25" s="776">
        <v>42217</v>
      </c>
      <c r="AC25" s="776">
        <v>42248</v>
      </c>
      <c r="AD25" s="776">
        <v>42278</v>
      </c>
      <c r="AE25" s="776">
        <v>42309</v>
      </c>
      <c r="AF25" s="776">
        <v>42339</v>
      </c>
      <c r="AG25" s="776">
        <v>42370</v>
      </c>
      <c r="AH25" s="776">
        <v>42401</v>
      </c>
      <c r="AI25" s="776">
        <v>42430</v>
      </c>
      <c r="AJ25" s="776">
        <v>42461</v>
      </c>
      <c r="AK25" s="776">
        <v>42491</v>
      </c>
      <c r="AL25" s="776">
        <v>42522</v>
      </c>
      <c r="AM25" s="776">
        <v>42552</v>
      </c>
      <c r="AN25" s="776">
        <v>42583</v>
      </c>
      <c r="AO25" s="776">
        <v>42614</v>
      </c>
      <c r="AP25" s="776">
        <v>42644</v>
      </c>
      <c r="AQ25" s="776">
        <v>42675</v>
      </c>
      <c r="AR25" s="776">
        <v>42705</v>
      </c>
      <c r="AS25" s="776">
        <v>42736</v>
      </c>
      <c r="AT25" s="776">
        <v>42767</v>
      </c>
      <c r="AU25" s="776"/>
    </row>
    <row r="26" spans="1:47" x14ac:dyDescent="0.25">
      <c r="H26" s="120" t="s">
        <v>369</v>
      </c>
      <c r="I26" s="775">
        <v>0.8</v>
      </c>
      <c r="J26" s="775">
        <v>0.7</v>
      </c>
      <c r="K26" s="775">
        <v>0.5</v>
      </c>
      <c r="L26" s="775">
        <v>0.7</v>
      </c>
      <c r="M26" s="775">
        <v>0.5</v>
      </c>
      <c r="N26" s="775">
        <v>0.5</v>
      </c>
      <c r="O26" s="775">
        <v>0.4</v>
      </c>
      <c r="P26" s="775">
        <v>0.4</v>
      </c>
      <c r="Q26" s="775">
        <v>0.3</v>
      </c>
      <c r="R26" s="775">
        <v>0.4</v>
      </c>
      <c r="S26" s="775">
        <v>0.3</v>
      </c>
      <c r="T26" s="775">
        <v>-0.2</v>
      </c>
      <c r="U26" s="775">
        <v>-0.6</v>
      </c>
      <c r="V26" s="775">
        <v>-0.3</v>
      </c>
      <c r="W26" s="775">
        <v>-0.1</v>
      </c>
      <c r="X26" s="775">
        <v>0</v>
      </c>
      <c r="Y26" s="775">
        <v>0.3</v>
      </c>
      <c r="Z26" s="775">
        <v>0.2</v>
      </c>
      <c r="AA26" s="775">
        <v>0.2</v>
      </c>
      <c r="AB26" s="775">
        <v>0.1</v>
      </c>
      <c r="AC26" s="775">
        <v>-0.1</v>
      </c>
      <c r="AD26" s="775">
        <v>0.1</v>
      </c>
      <c r="AE26" s="775">
        <v>0.1</v>
      </c>
      <c r="AF26" s="775">
        <v>0.2</v>
      </c>
      <c r="AG26" s="775">
        <v>0.3</v>
      </c>
      <c r="AH26" s="775">
        <v>-0.2</v>
      </c>
      <c r="AI26" s="40">
        <v>0</v>
      </c>
      <c r="AJ26" s="40">
        <v>-0.2</v>
      </c>
      <c r="AK26" s="40">
        <v>-0.1</v>
      </c>
      <c r="AL26" s="40">
        <v>0.1</v>
      </c>
      <c r="AM26" s="40">
        <v>0.2</v>
      </c>
      <c r="AN26" s="40">
        <v>0.2</v>
      </c>
      <c r="AO26" s="40">
        <v>0.4</v>
      </c>
      <c r="AP26" s="40">
        <v>0.5</v>
      </c>
      <c r="AQ26" s="40">
        <v>0.6</v>
      </c>
      <c r="AR26" s="40">
        <v>1.1000000000000001</v>
      </c>
      <c r="AS26" s="40">
        <v>1.8</v>
      </c>
      <c r="AT26" s="40">
        <v>2</v>
      </c>
    </row>
    <row r="27" spans="1:47" x14ac:dyDescent="0.25">
      <c r="H27" s="120" t="s">
        <v>694</v>
      </c>
      <c r="I27" s="41">
        <v>2.1150000000000002</v>
      </c>
      <c r="J27" s="41">
        <v>2.1288</v>
      </c>
      <c r="K27" s="41">
        <v>2.1103999999999998</v>
      </c>
      <c r="L27" s="41">
        <v>2.069</v>
      </c>
      <c r="M27" s="41">
        <v>2.048</v>
      </c>
      <c r="N27" s="41">
        <v>2.137</v>
      </c>
      <c r="O27" s="41">
        <v>2.1019999999999999</v>
      </c>
      <c r="P27" s="41">
        <v>2.0125000000000002</v>
      </c>
      <c r="Q27" s="41">
        <v>1.9370000000000001</v>
      </c>
      <c r="R27" s="41">
        <v>1.8325</v>
      </c>
      <c r="S27" s="41">
        <v>1.7605</v>
      </c>
      <c r="T27" s="41">
        <v>1.7269999999999999</v>
      </c>
      <c r="U27" s="41">
        <v>1.575</v>
      </c>
      <c r="V27" s="41">
        <v>1.6175000000000002</v>
      </c>
      <c r="W27" s="41">
        <v>1.635</v>
      </c>
      <c r="X27" s="41">
        <v>1.7650000000000001</v>
      </c>
      <c r="Y27" s="41">
        <v>1.722</v>
      </c>
      <c r="Z27" s="41">
        <v>1.845</v>
      </c>
      <c r="AA27" s="41">
        <v>1.77</v>
      </c>
      <c r="AB27" s="41">
        <v>1.677</v>
      </c>
      <c r="AC27" s="41">
        <v>1.56</v>
      </c>
      <c r="AD27" s="41">
        <v>1.7149999999999999</v>
      </c>
      <c r="AE27" s="41">
        <v>1.7925</v>
      </c>
      <c r="AF27" s="41">
        <v>1.6825000000000001</v>
      </c>
      <c r="AG27" s="41">
        <v>1.5150000000000001</v>
      </c>
      <c r="AH27" s="41">
        <v>1.361</v>
      </c>
      <c r="AI27" s="41">
        <v>1.407</v>
      </c>
      <c r="AJ27" s="41">
        <v>1.4710000000000001</v>
      </c>
      <c r="AK27" s="41">
        <v>1.4750000000000001</v>
      </c>
      <c r="AL27" s="41">
        <v>1.3180000000000001</v>
      </c>
      <c r="AM27" s="41">
        <v>1.3395999999999999</v>
      </c>
      <c r="AN27" s="41">
        <v>1.302</v>
      </c>
      <c r="AO27" s="41">
        <v>1.355</v>
      </c>
      <c r="AP27" s="41">
        <v>1.4647000000000001</v>
      </c>
      <c r="AQ27" s="41">
        <v>1.619</v>
      </c>
      <c r="AR27" s="41">
        <v>1.7435</v>
      </c>
      <c r="AS27" s="41">
        <v>1.8</v>
      </c>
      <c r="AT27" s="41">
        <v>1.696</v>
      </c>
    </row>
    <row r="28" spans="1:47" x14ac:dyDescent="0.25">
      <c r="H28" s="120" t="s">
        <v>370</v>
      </c>
      <c r="I28" s="41">
        <v>2</v>
      </c>
      <c r="J28" s="41">
        <v>2</v>
      </c>
      <c r="K28" s="41">
        <v>2</v>
      </c>
      <c r="L28" s="41">
        <v>2</v>
      </c>
      <c r="M28" s="41">
        <v>2</v>
      </c>
      <c r="N28" s="41">
        <v>2</v>
      </c>
      <c r="O28" s="41">
        <v>2</v>
      </c>
      <c r="P28" s="41">
        <v>2</v>
      </c>
      <c r="Q28" s="41">
        <v>2</v>
      </c>
      <c r="R28" s="41">
        <v>2</v>
      </c>
      <c r="S28" s="41">
        <v>2</v>
      </c>
      <c r="T28" s="41">
        <v>2</v>
      </c>
      <c r="U28" s="41">
        <v>2</v>
      </c>
      <c r="V28" s="41">
        <v>2</v>
      </c>
      <c r="W28" s="41">
        <v>2</v>
      </c>
      <c r="X28" s="41">
        <v>2</v>
      </c>
      <c r="Y28" s="41">
        <v>2</v>
      </c>
      <c r="Z28" s="41">
        <v>2</v>
      </c>
      <c r="AA28" s="41">
        <v>2</v>
      </c>
      <c r="AB28" s="41">
        <v>2</v>
      </c>
      <c r="AC28" s="41">
        <v>2</v>
      </c>
      <c r="AD28" s="41">
        <v>2</v>
      </c>
      <c r="AE28" s="41">
        <v>2</v>
      </c>
      <c r="AF28" s="41">
        <v>2</v>
      </c>
      <c r="AG28" s="41">
        <v>2</v>
      </c>
      <c r="AH28" s="41">
        <v>2</v>
      </c>
      <c r="AI28" s="41">
        <v>2</v>
      </c>
      <c r="AJ28" s="41">
        <v>2</v>
      </c>
      <c r="AK28" s="41">
        <v>2</v>
      </c>
      <c r="AL28" s="41">
        <v>2</v>
      </c>
      <c r="AM28" s="41">
        <v>2</v>
      </c>
      <c r="AN28" s="41">
        <v>2</v>
      </c>
      <c r="AO28" s="41">
        <v>2</v>
      </c>
      <c r="AP28" s="41">
        <v>2</v>
      </c>
      <c r="AQ28" s="41">
        <v>2</v>
      </c>
      <c r="AR28" s="41">
        <v>2</v>
      </c>
      <c r="AS28" s="41">
        <v>2</v>
      </c>
      <c r="AT28" s="41">
        <v>2</v>
      </c>
    </row>
    <row r="32" spans="1:47" x14ac:dyDescent="0.25">
      <c r="A32" s="918" t="s">
        <v>523</v>
      </c>
      <c r="B32" s="918"/>
      <c r="D32" s="918" t="s">
        <v>710</v>
      </c>
      <c r="E32" s="918"/>
    </row>
  </sheetData>
  <mergeCells count="8">
    <mergeCell ref="A32:B32"/>
    <mergeCell ref="D32:E32"/>
    <mergeCell ref="D3:E3"/>
    <mergeCell ref="A3:B3"/>
    <mergeCell ref="A18:B18"/>
    <mergeCell ref="D18:E18"/>
    <mergeCell ref="A17:B17"/>
    <mergeCell ref="D17:E17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/>
  <dimension ref="A3:P34"/>
  <sheetViews>
    <sheetView showGridLines="0" zoomScale="85" zoomScaleNormal="85" workbookViewId="0">
      <selection activeCell="N26" sqref="N26"/>
    </sheetView>
  </sheetViews>
  <sheetFormatPr defaultRowHeight="13.5" x14ac:dyDescent="0.25"/>
  <cols>
    <col min="1" max="1" width="41.85546875" style="40" bestFit="1" customWidth="1"/>
    <col min="2" max="9" width="9.140625" style="40"/>
    <col min="10" max="10" width="30" style="40" bestFit="1" customWidth="1"/>
    <col min="11" max="16384" width="9.140625" style="40"/>
  </cols>
  <sheetData>
    <row r="3" spans="1:14" ht="14.25" thickBot="1" x14ac:dyDescent="0.3">
      <c r="A3" s="649" t="s">
        <v>1074</v>
      </c>
      <c r="B3" s="52"/>
      <c r="C3" s="52"/>
      <c r="D3" s="52"/>
      <c r="J3" s="649" t="s">
        <v>1075</v>
      </c>
      <c r="K3" s="52"/>
      <c r="L3" s="52"/>
      <c r="M3" s="52"/>
      <c r="N3" s="649"/>
    </row>
    <row r="20" spans="1:16" ht="15.75" customHeight="1" thickBot="1" x14ac:dyDescent="0.3">
      <c r="A20" s="897" t="s">
        <v>1601</v>
      </c>
      <c r="B20" s="897"/>
      <c r="C20" s="897"/>
      <c r="D20" s="897"/>
      <c r="E20" s="897"/>
      <c r="F20" s="897"/>
      <c r="G20" s="897"/>
      <c r="J20" s="897" t="s">
        <v>515</v>
      </c>
      <c r="K20" s="897"/>
      <c r="L20" s="897"/>
      <c r="M20" s="897"/>
      <c r="N20" s="897"/>
      <c r="O20" s="897"/>
      <c r="P20" s="897"/>
    </row>
    <row r="21" spans="1:16" ht="14.25" thickBot="1" x14ac:dyDescent="0.3">
      <c r="A21" s="18"/>
      <c r="B21" s="12">
        <f>'Tab 20 '!B5</f>
        <v>2015</v>
      </c>
      <c r="C21" s="12">
        <f>'Tab 20 '!C5</f>
        <v>2016</v>
      </c>
      <c r="D21" s="12">
        <f>'Tab 20 '!D5</f>
        <v>2017</v>
      </c>
      <c r="E21" s="12">
        <f>'Tab 20 '!E5</f>
        <v>2018</v>
      </c>
      <c r="F21" s="12">
        <f>'Tab 20 '!F5</f>
        <v>2019</v>
      </c>
      <c r="G21" s="12">
        <f>'Tab 20 '!G5</f>
        <v>2020</v>
      </c>
      <c r="J21" s="18"/>
      <c r="K21" s="12">
        <f>B21</f>
        <v>2015</v>
      </c>
      <c r="L21" s="12">
        <f t="shared" ref="L21:P21" si="0">C21</f>
        <v>2016</v>
      </c>
      <c r="M21" s="12">
        <f t="shared" si="0"/>
        <v>2017</v>
      </c>
      <c r="N21" s="12">
        <f t="shared" si="0"/>
        <v>2018</v>
      </c>
      <c r="O21" s="12">
        <f t="shared" si="0"/>
        <v>2019</v>
      </c>
      <c r="P21" s="12">
        <f t="shared" si="0"/>
        <v>2020</v>
      </c>
    </row>
    <row r="22" spans="1:16" x14ac:dyDescent="0.25">
      <c r="A22" s="16" t="s">
        <v>82</v>
      </c>
      <c r="B22" s="38">
        <f>'Tab 20 '!B6</f>
        <v>52.480982290941959</v>
      </c>
      <c r="C22" s="38">
        <f>'Tab 20 '!C6</f>
        <v>51.944515578719063</v>
      </c>
      <c r="D22" s="38">
        <f>'Tab 20 '!D6</f>
        <v>51.753576813312797</v>
      </c>
      <c r="E22" s="38">
        <f>'Tab 20 '!E6</f>
        <v>49.936921613254334</v>
      </c>
      <c r="F22" s="38">
        <f>'Tab 20 '!F6</f>
        <v>47.993310076994348</v>
      </c>
      <c r="G22" s="38">
        <f>'Tab 20 '!G6</f>
        <v>45.978313115681118</v>
      </c>
      <c r="J22" s="16" t="s">
        <v>516</v>
      </c>
      <c r="K22" s="38">
        <f t="shared" ref="K22:K31" si="1">B22</f>
        <v>52.480982290941959</v>
      </c>
      <c r="L22" s="38">
        <f t="shared" ref="L22:L31" si="2">C22</f>
        <v>51.944515578719063</v>
      </c>
      <c r="M22" s="38">
        <f t="shared" ref="M22:M31" si="3">D22</f>
        <v>51.753576813312797</v>
      </c>
      <c r="N22" s="38">
        <f t="shared" ref="N22:N31" si="4">E22</f>
        <v>49.936921613254334</v>
      </c>
      <c r="O22" s="38">
        <f t="shared" ref="O22:O31" si="5">F22</f>
        <v>47.993310076994348</v>
      </c>
      <c r="P22" s="38">
        <f t="shared" ref="P22:P31" si="6">G22</f>
        <v>45.978313115681118</v>
      </c>
    </row>
    <row r="23" spans="1:16" x14ac:dyDescent="0.25">
      <c r="A23" s="19" t="s">
        <v>83</v>
      </c>
      <c r="B23" s="38">
        <f>'Tab 20 '!B7</f>
        <v>47.415432191186774</v>
      </c>
      <c r="C23" s="38">
        <f>'Tab 20 '!C7</f>
        <v>47.136354307182565</v>
      </c>
      <c r="D23" s="38">
        <f>'Tab 20 '!D7</f>
        <v>47.275084719147365</v>
      </c>
      <c r="E23" s="38">
        <f>'Tab 20 '!E7</f>
        <v>45.847649644810431</v>
      </c>
      <c r="F23" s="38">
        <f>'Tab 20 '!F7</f>
        <v>44.272923827798941</v>
      </c>
      <c r="G23" s="38">
        <f>'Tab 20 '!G7</f>
        <v>42.58025698574496</v>
      </c>
      <c r="J23" s="19" t="s">
        <v>437</v>
      </c>
      <c r="K23" s="38">
        <f t="shared" si="1"/>
        <v>47.415432191186774</v>
      </c>
      <c r="L23" s="38">
        <f t="shared" si="2"/>
        <v>47.136354307182565</v>
      </c>
      <c r="M23" s="38">
        <f t="shared" si="3"/>
        <v>47.275084719147365</v>
      </c>
      <c r="N23" s="38">
        <f t="shared" si="4"/>
        <v>45.847649644810431</v>
      </c>
      <c r="O23" s="38">
        <f t="shared" si="5"/>
        <v>44.272923827798941</v>
      </c>
      <c r="P23" s="38">
        <f t="shared" si="6"/>
        <v>42.58025698574496</v>
      </c>
    </row>
    <row r="24" spans="1:16" x14ac:dyDescent="0.25">
      <c r="A24" s="19" t="s">
        <v>84</v>
      </c>
      <c r="B24" s="38">
        <f>'Tab 20 '!B8</f>
        <v>2.3900684538613159</v>
      </c>
      <c r="C24" s="38">
        <f>'Tab 20 '!C8</f>
        <v>2.3229820420683494</v>
      </c>
      <c r="D24" s="38">
        <f>'Tab 20 '!D8</f>
        <v>2.2234949862787592</v>
      </c>
      <c r="E24" s="38">
        <f>'Tab 20 '!E8</f>
        <v>2.1047776695950535</v>
      </c>
      <c r="F24" s="38">
        <f>'Tab 20 '!F8</f>
        <v>1.9780994866932227</v>
      </c>
      <c r="G24" s="38">
        <f>'Tab 20 '!G8</f>
        <v>1.8670137409309426</v>
      </c>
      <c r="J24" s="19" t="s">
        <v>495</v>
      </c>
      <c r="K24" s="38">
        <f t="shared" si="1"/>
        <v>2.3900684538613159</v>
      </c>
      <c r="L24" s="38">
        <f t="shared" si="2"/>
        <v>2.3229820420683494</v>
      </c>
      <c r="M24" s="38">
        <f t="shared" si="3"/>
        <v>2.2234949862787592</v>
      </c>
      <c r="N24" s="38">
        <f t="shared" si="4"/>
        <v>2.1047776695950535</v>
      </c>
      <c r="O24" s="38">
        <f t="shared" si="5"/>
        <v>1.9780994866932227</v>
      </c>
      <c r="P24" s="38">
        <f t="shared" si="6"/>
        <v>1.8670137409309426</v>
      </c>
    </row>
    <row r="25" spans="1:16" x14ac:dyDescent="0.25">
      <c r="A25" s="19" t="s">
        <v>85</v>
      </c>
      <c r="B25" s="38">
        <f>'Tab 20 '!B9</f>
        <v>0.83776438507026618</v>
      </c>
      <c r="C25" s="38">
        <f>'Tab 20 '!C9</f>
        <v>0.81424932363698099</v>
      </c>
      <c r="D25" s="38">
        <f>'Tab 20 '!D9</f>
        <v>0.77937722113240004</v>
      </c>
      <c r="E25" s="38">
        <f>'Tab 20 '!E9</f>
        <v>0.73776454696483107</v>
      </c>
      <c r="F25" s="38">
        <f>'Tab 20 '!F9</f>
        <v>0.69336143799566452</v>
      </c>
      <c r="G25" s="38">
        <f>'Tab 20 '!G9</f>
        <v>0.65442377437424903</v>
      </c>
      <c r="J25" s="19" t="s">
        <v>496</v>
      </c>
      <c r="K25" s="38">
        <f t="shared" si="1"/>
        <v>0.83776438507026618</v>
      </c>
      <c r="L25" s="38">
        <f t="shared" si="2"/>
        <v>0.81424932363698099</v>
      </c>
      <c r="M25" s="38">
        <f t="shared" si="3"/>
        <v>0.77937722113240004</v>
      </c>
      <c r="N25" s="38">
        <f t="shared" si="4"/>
        <v>0.73776454696483107</v>
      </c>
      <c r="O25" s="38">
        <f t="shared" si="5"/>
        <v>0.69336143799566452</v>
      </c>
      <c r="P25" s="38">
        <f t="shared" si="6"/>
        <v>0.65442377437424903</v>
      </c>
    </row>
    <row r="26" spans="1:16" ht="14.25" thickBot="1" x14ac:dyDescent="0.3">
      <c r="A26" s="20" t="s">
        <v>86</v>
      </c>
      <c r="B26" s="39">
        <f>'Tab 20 '!B10</f>
        <v>1.8377172608236059</v>
      </c>
      <c r="C26" s="39">
        <f>'Tab 20 '!C10</f>
        <v>1.6709299058311766</v>
      </c>
      <c r="D26" s="39">
        <f>'Tab 20 '!D10</f>
        <v>1.4756198867542794</v>
      </c>
      <c r="E26" s="39">
        <f>'Tab 20 '!E10</f>
        <v>1.2467297518840286</v>
      </c>
      <c r="F26" s="39">
        <f>'Tab 20 '!F10</f>
        <v>1.0489253245065313</v>
      </c>
      <c r="G26" s="39">
        <f>'Tab 20 '!G10</f>
        <v>0.87661861463097568</v>
      </c>
      <c r="J26" s="20" t="s">
        <v>497</v>
      </c>
      <c r="K26" s="39">
        <f t="shared" si="1"/>
        <v>1.8377172608236059</v>
      </c>
      <c r="L26" s="39">
        <f t="shared" si="2"/>
        <v>1.6709299058311766</v>
      </c>
      <c r="M26" s="39">
        <f t="shared" si="3"/>
        <v>1.4756198867542794</v>
      </c>
      <c r="N26" s="39">
        <f t="shared" si="4"/>
        <v>1.2467297518840286</v>
      </c>
      <c r="O26" s="39">
        <f t="shared" si="5"/>
        <v>1.0489253245065313</v>
      </c>
      <c r="P26" s="39">
        <f t="shared" si="6"/>
        <v>0.87661861463097568</v>
      </c>
    </row>
    <row r="27" spans="1:16" x14ac:dyDescent="0.25">
      <c r="A27" s="19" t="s">
        <v>87</v>
      </c>
      <c r="B27" s="38">
        <f>'Tab 20 '!B11</f>
        <v>-1.1424152441525166</v>
      </c>
      <c r="C27" s="38">
        <f>'Tab 20 '!C11</f>
        <v>-0.53646671222289655</v>
      </c>
      <c r="D27" s="38">
        <f>'Tab 20 '!D11</f>
        <v>-0.19093876540626553</v>
      </c>
      <c r="E27" s="38">
        <f>'Tab 20 '!E11</f>
        <v>-1.816655200058463</v>
      </c>
      <c r="F27" s="38">
        <f>'Tab 20 '!F11</f>
        <v>-1.9436115362599864</v>
      </c>
      <c r="G27" s="38">
        <f>'Tab 20 '!G11</f>
        <v>-2.0149969613132299</v>
      </c>
      <c r="J27" s="19" t="s">
        <v>439</v>
      </c>
      <c r="K27" s="38">
        <f t="shared" si="1"/>
        <v>-1.1424152441525166</v>
      </c>
      <c r="L27" s="38">
        <f t="shared" si="2"/>
        <v>-0.53646671222289655</v>
      </c>
      <c r="M27" s="38">
        <f t="shared" si="3"/>
        <v>-0.19093876540626553</v>
      </c>
      <c r="N27" s="38">
        <f t="shared" si="4"/>
        <v>-1.816655200058463</v>
      </c>
      <c r="O27" s="38">
        <f t="shared" si="5"/>
        <v>-1.9436115362599864</v>
      </c>
      <c r="P27" s="38">
        <f t="shared" si="6"/>
        <v>-2.0149969613132299</v>
      </c>
    </row>
    <row r="28" spans="1:16" ht="14.25" thickBot="1" x14ac:dyDescent="0.3">
      <c r="A28" s="20" t="s">
        <v>88</v>
      </c>
      <c r="B28" s="39">
        <f>'Tab 20 '!B12</f>
        <v>48.214345627220681</v>
      </c>
      <c r="C28" s="39">
        <f>'Tab 20 '!C12</f>
        <v>47.004140566509029</v>
      </c>
      <c r="D28" s="39">
        <f>'Tab 20 '!D12</f>
        <v>46.852281109816708</v>
      </c>
      <c r="E28" s="39">
        <f>'Tab 20 '!E12</f>
        <v>45.090520052349831</v>
      </c>
      <c r="F28" s="39">
        <f>'Tab 20 '!F12</f>
        <v>42.690731994583544</v>
      </c>
      <c r="G28" s="39">
        <f>'Tab 20 '!G12</f>
        <v>40.516251122907782</v>
      </c>
      <c r="H28" s="49"/>
      <c r="I28" s="49"/>
      <c r="J28" s="20" t="s">
        <v>440</v>
      </c>
      <c r="K28" s="39">
        <f t="shared" si="1"/>
        <v>48.214345627220681</v>
      </c>
      <c r="L28" s="39">
        <f t="shared" si="2"/>
        <v>47.004140566509029</v>
      </c>
      <c r="M28" s="39">
        <f t="shared" si="3"/>
        <v>46.852281109816708</v>
      </c>
      <c r="N28" s="39">
        <f t="shared" si="4"/>
        <v>45.090520052349831</v>
      </c>
      <c r="O28" s="39">
        <f t="shared" si="5"/>
        <v>42.690731994583544</v>
      </c>
      <c r="P28" s="39">
        <f t="shared" si="6"/>
        <v>40.516251122907782</v>
      </c>
    </row>
    <row r="29" spans="1:16" x14ac:dyDescent="0.25">
      <c r="A29" s="19" t="s">
        <v>147</v>
      </c>
      <c r="B29" s="38">
        <f>'Tab 20 '!B13</f>
        <v>49.253149452010376</v>
      </c>
      <c r="C29" s="38">
        <f>'Tab 20 '!C13</f>
        <v>48.80728421301373</v>
      </c>
      <c r="D29" s="38">
        <f>'Tab 20 '!D13</f>
        <v>48.750704605901639</v>
      </c>
      <c r="E29" s="38">
        <f>'Tab 20 '!E13</f>
        <v>47.09437939669445</v>
      </c>
      <c r="F29" s="38">
        <f>'Tab 20 '!F13</f>
        <v>45.321849152305461</v>
      </c>
      <c r="G29" s="38">
        <f>'Tab 20 '!G13</f>
        <v>43.456875600375923</v>
      </c>
      <c r="J29" s="19" t="s">
        <v>441</v>
      </c>
      <c r="K29" s="38">
        <f t="shared" si="1"/>
        <v>49.253149452010376</v>
      </c>
      <c r="L29" s="38">
        <f t="shared" si="2"/>
        <v>48.80728421301373</v>
      </c>
      <c r="M29" s="38">
        <f t="shared" si="3"/>
        <v>48.750704605901639</v>
      </c>
      <c r="N29" s="38">
        <f t="shared" si="4"/>
        <v>47.09437939669445</v>
      </c>
      <c r="O29" s="38">
        <f t="shared" si="5"/>
        <v>45.321849152305461</v>
      </c>
      <c r="P29" s="38">
        <f t="shared" si="6"/>
        <v>43.456875600375923</v>
      </c>
    </row>
    <row r="30" spans="1:16" x14ac:dyDescent="0.25">
      <c r="A30" s="19" t="s">
        <v>146</v>
      </c>
      <c r="B30" s="650">
        <f>'Tab 20 '!B14</f>
        <v>3.2278328389315822</v>
      </c>
      <c r="C30" s="38">
        <f>'Tab 20 '!C14</f>
        <v>3.1372313657053303</v>
      </c>
      <c r="D30" s="38">
        <f>'Tab 20 '!D14</f>
        <v>3.0028722074111593</v>
      </c>
      <c r="E30" s="38">
        <f>'Tab 20 '!E14</f>
        <v>2.8425422165598846</v>
      </c>
      <c r="F30" s="38">
        <f>'Tab 20 '!F14</f>
        <v>2.671460924688887</v>
      </c>
      <c r="G30" s="38">
        <f>'Tab 20 '!G14</f>
        <v>2.5214375153051916</v>
      </c>
      <c r="J30" s="19" t="s">
        <v>442</v>
      </c>
      <c r="K30" s="650">
        <f t="shared" si="1"/>
        <v>3.2278328389315822</v>
      </c>
      <c r="L30" s="38">
        <f t="shared" si="2"/>
        <v>3.1372313657053303</v>
      </c>
      <c r="M30" s="38">
        <f t="shared" si="3"/>
        <v>3.0028722074111593</v>
      </c>
      <c r="N30" s="38">
        <f t="shared" si="4"/>
        <v>2.8425422165598846</v>
      </c>
      <c r="O30" s="38">
        <f t="shared" si="5"/>
        <v>2.671460924688887</v>
      </c>
      <c r="P30" s="38">
        <f t="shared" si="6"/>
        <v>2.5214375153051916</v>
      </c>
    </row>
    <row r="31" spans="1:16" ht="14.25" thickBot="1" x14ac:dyDescent="0.3">
      <c r="A31" s="651" t="s">
        <v>168</v>
      </c>
      <c r="B31" s="652">
        <v>4.2666366637212745</v>
      </c>
      <c r="C31" s="652">
        <v>4.9403750122100343</v>
      </c>
      <c r="D31" s="652">
        <v>4.9012957034960918</v>
      </c>
      <c r="E31" s="652">
        <v>4.8464015609045061</v>
      </c>
      <c r="F31" s="652">
        <v>5.3025780824107995</v>
      </c>
      <c r="G31" s="652">
        <v>5.4620619927733385</v>
      </c>
      <c r="J31" s="651" t="s">
        <v>517</v>
      </c>
      <c r="K31" s="652">
        <f t="shared" si="1"/>
        <v>4.2666366637212745</v>
      </c>
      <c r="L31" s="652">
        <f t="shared" si="2"/>
        <v>4.9403750122100343</v>
      </c>
      <c r="M31" s="652">
        <f t="shared" si="3"/>
        <v>4.9012957034960918</v>
      </c>
      <c r="N31" s="652">
        <f t="shared" si="4"/>
        <v>4.8464015609045061</v>
      </c>
      <c r="O31" s="652">
        <f t="shared" si="5"/>
        <v>5.3025780824107995</v>
      </c>
      <c r="P31" s="652">
        <f t="shared" si="6"/>
        <v>5.4620619927733385</v>
      </c>
    </row>
    <row r="32" spans="1:16" x14ac:dyDescent="0.25">
      <c r="A32" s="19"/>
      <c r="B32" s="650"/>
      <c r="C32" s="38"/>
      <c r="D32" s="38"/>
      <c r="E32" s="38"/>
      <c r="F32" s="969" t="s">
        <v>21</v>
      </c>
      <c r="G32" s="969"/>
      <c r="O32" s="969" t="s">
        <v>514</v>
      </c>
      <c r="P32" s="969"/>
    </row>
    <row r="34" spans="1:1" x14ac:dyDescent="0.25">
      <c r="A34" s="120"/>
    </row>
  </sheetData>
  <mergeCells count="4">
    <mergeCell ref="A20:G20"/>
    <mergeCell ref="J20:P20"/>
    <mergeCell ref="F32:G32"/>
    <mergeCell ref="O32:P32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6"/>
  <dimension ref="A3:R57"/>
  <sheetViews>
    <sheetView showGridLines="0" zoomScale="85" zoomScaleNormal="85" workbookViewId="0">
      <pane xSplit="1" ySplit="3" topLeftCell="B4" activePane="bottomRight" state="frozen"/>
      <selection activeCell="R43" sqref="R43"/>
      <selection pane="topRight" activeCell="R43" sqref="R43"/>
      <selection pane="bottomLeft" activeCell="R43" sqref="R43"/>
      <selection pane="bottomRight" activeCell="H10" sqref="H10"/>
    </sheetView>
  </sheetViews>
  <sheetFormatPr defaultColWidth="9.140625" defaultRowHeight="13.5" x14ac:dyDescent="0.25"/>
  <cols>
    <col min="1" max="1" width="9.140625" style="443"/>
    <col min="2" max="2" width="18.5703125" style="443" bestFit="1" customWidth="1"/>
    <col min="3" max="3" width="12.7109375" style="443" customWidth="1"/>
    <col min="4" max="12" width="10.7109375" style="443" bestFit="1" customWidth="1"/>
    <col min="13" max="16384" width="9.140625" style="443"/>
  </cols>
  <sheetData>
    <row r="3" spans="1:15" s="441" customFormat="1" x14ac:dyDescent="0.25">
      <c r="A3" s="645"/>
      <c r="B3" s="645" t="s">
        <v>744</v>
      </c>
      <c r="C3" s="645" t="s">
        <v>745</v>
      </c>
      <c r="D3" s="645">
        <v>10</v>
      </c>
      <c r="E3" s="645">
        <v>20</v>
      </c>
      <c r="F3" s="645">
        <v>30</v>
      </c>
      <c r="G3" s="645">
        <v>40</v>
      </c>
      <c r="H3" s="645">
        <v>50</v>
      </c>
      <c r="I3" s="645">
        <v>60</v>
      </c>
      <c r="J3" s="645">
        <v>70</v>
      </c>
      <c r="K3" s="645">
        <v>80</v>
      </c>
      <c r="L3" s="645">
        <v>90</v>
      </c>
      <c r="M3" s="440"/>
    </row>
    <row r="4" spans="1:15" x14ac:dyDescent="0.25">
      <c r="A4" s="115">
        <v>1998</v>
      </c>
      <c r="B4" s="125">
        <v>33.860943795753776</v>
      </c>
      <c r="C4" s="125">
        <v>33.860943795753776</v>
      </c>
      <c r="D4" s="125">
        <v>33.860943795753776</v>
      </c>
      <c r="E4" s="125">
        <v>33.860943795753776</v>
      </c>
      <c r="F4" s="125">
        <v>33.860943795753776</v>
      </c>
      <c r="G4" s="125">
        <v>33.860943795753776</v>
      </c>
      <c r="H4" s="125">
        <v>33.860943795753776</v>
      </c>
      <c r="I4" s="125">
        <v>33.860943795753776</v>
      </c>
      <c r="J4" s="125">
        <v>33.860943795753776</v>
      </c>
      <c r="K4" s="125">
        <v>33.860943795753776</v>
      </c>
      <c r="L4" s="125">
        <v>33.860943795753776</v>
      </c>
      <c r="M4" s="442"/>
    </row>
    <row r="5" spans="1:15" x14ac:dyDescent="0.25">
      <c r="A5" s="115">
        <v>1999</v>
      </c>
      <c r="B5" s="125">
        <v>47.07994984798902</v>
      </c>
      <c r="C5" s="125">
        <v>47.07994984798902</v>
      </c>
      <c r="D5" s="125">
        <v>47.07994984798902</v>
      </c>
      <c r="E5" s="125">
        <v>47.07994984798902</v>
      </c>
      <c r="F5" s="125">
        <v>47.07994984798902</v>
      </c>
      <c r="G5" s="125">
        <v>47.07994984798902</v>
      </c>
      <c r="H5" s="125">
        <v>47.07994984798902</v>
      </c>
      <c r="I5" s="125">
        <v>47.07994984798902</v>
      </c>
      <c r="J5" s="125">
        <v>47.07994984798902</v>
      </c>
      <c r="K5" s="125">
        <v>47.07994984798902</v>
      </c>
      <c r="L5" s="125">
        <v>47.07994984798902</v>
      </c>
      <c r="M5" s="442"/>
    </row>
    <row r="6" spans="1:15" x14ac:dyDescent="0.25">
      <c r="A6" s="115">
        <v>2000</v>
      </c>
      <c r="B6" s="125">
        <v>49.623613418770361</v>
      </c>
      <c r="C6" s="125">
        <v>49.623613418770361</v>
      </c>
      <c r="D6" s="125">
        <v>49.623613418770361</v>
      </c>
      <c r="E6" s="125">
        <v>49.623613418770361</v>
      </c>
      <c r="F6" s="125">
        <v>49.623613418770361</v>
      </c>
      <c r="G6" s="125">
        <v>49.623613418770361</v>
      </c>
      <c r="H6" s="125">
        <v>49.623613418770361</v>
      </c>
      <c r="I6" s="125">
        <v>49.623613418770361</v>
      </c>
      <c r="J6" s="125">
        <v>49.623613418770361</v>
      </c>
      <c r="K6" s="125">
        <v>49.623613418770361</v>
      </c>
      <c r="L6" s="125">
        <v>49.623613418770361</v>
      </c>
      <c r="M6" s="442"/>
    </row>
    <row r="7" spans="1:15" x14ac:dyDescent="0.25">
      <c r="A7" s="115">
        <v>2001</v>
      </c>
      <c r="B7" s="125">
        <v>48.281258206277919</v>
      </c>
      <c r="C7" s="125">
        <v>48.281258206277919</v>
      </c>
      <c r="D7" s="125">
        <v>48.281258206277919</v>
      </c>
      <c r="E7" s="125">
        <v>48.281258206277919</v>
      </c>
      <c r="F7" s="125">
        <v>48.281258206277919</v>
      </c>
      <c r="G7" s="125">
        <v>48.281258206277919</v>
      </c>
      <c r="H7" s="125">
        <v>48.281258206277919</v>
      </c>
      <c r="I7" s="125">
        <v>48.281258206277919</v>
      </c>
      <c r="J7" s="125">
        <v>48.281258206277919</v>
      </c>
      <c r="K7" s="125">
        <v>48.281258206277919</v>
      </c>
      <c r="L7" s="125">
        <v>48.281258206277919</v>
      </c>
      <c r="M7" s="442"/>
      <c r="O7" s="444" t="s">
        <v>1076</v>
      </c>
    </row>
    <row r="8" spans="1:15" x14ac:dyDescent="0.25">
      <c r="A8" s="115">
        <v>2002</v>
      </c>
      <c r="B8" s="125">
        <v>42.88215599197013</v>
      </c>
      <c r="C8" s="125">
        <v>42.88215599197013</v>
      </c>
      <c r="D8" s="125">
        <v>42.88215599197013</v>
      </c>
      <c r="E8" s="125">
        <v>42.88215599197013</v>
      </c>
      <c r="F8" s="125">
        <v>42.88215599197013</v>
      </c>
      <c r="G8" s="125">
        <v>42.88215599197013</v>
      </c>
      <c r="H8" s="125">
        <v>42.88215599197013</v>
      </c>
      <c r="I8" s="125">
        <v>42.88215599197013</v>
      </c>
      <c r="J8" s="125">
        <v>42.88215599197013</v>
      </c>
      <c r="K8" s="125">
        <v>42.88215599197013</v>
      </c>
      <c r="L8" s="125">
        <v>42.88215599197013</v>
      </c>
      <c r="M8" s="442"/>
    </row>
    <row r="9" spans="1:15" x14ac:dyDescent="0.25">
      <c r="A9" s="115">
        <v>2003</v>
      </c>
      <c r="B9" s="125">
        <v>41.588629367554795</v>
      </c>
      <c r="C9" s="125">
        <v>41.588629367554795</v>
      </c>
      <c r="D9" s="125">
        <v>41.588629367554795</v>
      </c>
      <c r="E9" s="125">
        <v>41.588629367554795</v>
      </c>
      <c r="F9" s="125">
        <v>41.588629367554795</v>
      </c>
      <c r="G9" s="125">
        <v>41.588629367554795</v>
      </c>
      <c r="H9" s="125">
        <v>41.588629367554795</v>
      </c>
      <c r="I9" s="125">
        <v>41.588629367554795</v>
      </c>
      <c r="J9" s="125">
        <v>41.588629367554795</v>
      </c>
      <c r="K9" s="125">
        <v>41.588629367554795</v>
      </c>
      <c r="L9" s="125">
        <v>41.588629367554795</v>
      </c>
      <c r="M9" s="442"/>
    </row>
    <row r="10" spans="1:15" x14ac:dyDescent="0.25">
      <c r="A10" s="115">
        <v>2004</v>
      </c>
      <c r="B10" s="125">
        <v>40.639217872327734</v>
      </c>
      <c r="C10" s="125">
        <v>40.639217872327734</v>
      </c>
      <c r="D10" s="125">
        <v>40.639217872327734</v>
      </c>
      <c r="E10" s="125">
        <v>40.639217872327734</v>
      </c>
      <c r="F10" s="125">
        <v>40.639217872327734</v>
      </c>
      <c r="G10" s="125">
        <v>40.639217872327734</v>
      </c>
      <c r="H10" s="125">
        <v>40.639217872327734</v>
      </c>
      <c r="I10" s="125">
        <v>40.639217872327734</v>
      </c>
      <c r="J10" s="125">
        <v>40.639217872327734</v>
      </c>
      <c r="K10" s="125">
        <v>40.639217872327734</v>
      </c>
      <c r="L10" s="125">
        <v>40.639217872327734</v>
      </c>
      <c r="M10" s="442"/>
    </row>
    <row r="11" spans="1:15" x14ac:dyDescent="0.25">
      <c r="A11" s="115">
        <v>2005</v>
      </c>
      <c r="B11" s="125">
        <v>33.928324096966726</v>
      </c>
      <c r="C11" s="125">
        <v>33.928324096966726</v>
      </c>
      <c r="D11" s="125">
        <v>33.928324096966726</v>
      </c>
      <c r="E11" s="125">
        <v>33.928324096966726</v>
      </c>
      <c r="F11" s="125">
        <v>33.928324096966726</v>
      </c>
      <c r="G11" s="125">
        <v>33.928324096966726</v>
      </c>
      <c r="H11" s="125">
        <v>33.928324096966726</v>
      </c>
      <c r="I11" s="125">
        <v>33.928324096966726</v>
      </c>
      <c r="J11" s="125">
        <v>33.928324096966726</v>
      </c>
      <c r="K11" s="125">
        <v>33.928324096966726</v>
      </c>
      <c r="L11" s="125">
        <v>33.928324096966726</v>
      </c>
      <c r="M11" s="442"/>
    </row>
    <row r="12" spans="1:15" x14ac:dyDescent="0.25">
      <c r="A12" s="115">
        <v>2006</v>
      </c>
      <c r="B12" s="125">
        <v>30.767079387245609</v>
      </c>
      <c r="C12" s="125">
        <v>30.767079387245609</v>
      </c>
      <c r="D12" s="125">
        <v>30.767079387245609</v>
      </c>
      <c r="E12" s="125">
        <v>30.767079387245609</v>
      </c>
      <c r="F12" s="125">
        <v>30.767079387245609</v>
      </c>
      <c r="G12" s="125">
        <v>30.767079387245609</v>
      </c>
      <c r="H12" s="125">
        <v>30.767079387245609</v>
      </c>
      <c r="I12" s="125">
        <v>30.767079387245609</v>
      </c>
      <c r="J12" s="125">
        <v>30.767079387245609</v>
      </c>
      <c r="K12" s="125">
        <v>30.767079387245609</v>
      </c>
      <c r="L12" s="125">
        <v>30.767079387245609</v>
      </c>
      <c r="M12" s="442"/>
    </row>
    <row r="13" spans="1:15" x14ac:dyDescent="0.25">
      <c r="A13" s="115">
        <v>2007</v>
      </c>
      <c r="B13" s="125">
        <v>29.897666684381687</v>
      </c>
      <c r="C13" s="125">
        <v>29.897666684381687</v>
      </c>
      <c r="D13" s="125">
        <v>29.897666684381687</v>
      </c>
      <c r="E13" s="125">
        <v>29.897666684381687</v>
      </c>
      <c r="F13" s="125">
        <v>29.897666684381687</v>
      </c>
      <c r="G13" s="125">
        <v>29.897666684381687</v>
      </c>
      <c r="H13" s="125">
        <v>29.897666684381687</v>
      </c>
      <c r="I13" s="125">
        <v>29.897666684381687</v>
      </c>
      <c r="J13" s="125">
        <v>29.897666684381687</v>
      </c>
      <c r="K13" s="125">
        <v>29.897666684381687</v>
      </c>
      <c r="L13" s="125">
        <v>29.897666684381687</v>
      </c>
      <c r="M13" s="442"/>
    </row>
    <row r="14" spans="1:15" x14ac:dyDescent="0.25">
      <c r="A14" s="115">
        <v>2008</v>
      </c>
      <c r="B14" s="125">
        <v>28.21367341902042</v>
      </c>
      <c r="C14" s="125">
        <v>28.21367341902042</v>
      </c>
      <c r="D14" s="125">
        <v>28.21367341902042</v>
      </c>
      <c r="E14" s="125">
        <v>28.21367341902042</v>
      </c>
      <c r="F14" s="125">
        <v>28.21367341902042</v>
      </c>
      <c r="G14" s="125">
        <v>28.21367341902042</v>
      </c>
      <c r="H14" s="125">
        <v>28.21367341902042</v>
      </c>
      <c r="I14" s="125">
        <v>28.21367341902042</v>
      </c>
      <c r="J14" s="125">
        <v>28.21367341902042</v>
      </c>
      <c r="K14" s="125">
        <v>28.21367341902042</v>
      </c>
      <c r="L14" s="125">
        <v>28.21367341902042</v>
      </c>
      <c r="M14" s="442"/>
    </row>
    <row r="15" spans="1:15" x14ac:dyDescent="0.25">
      <c r="A15" s="115">
        <v>2009</v>
      </c>
      <c r="B15" s="125">
        <v>36.007894575405679</v>
      </c>
      <c r="C15" s="125">
        <v>36.007894575405679</v>
      </c>
      <c r="D15" s="125">
        <v>36.007894575405679</v>
      </c>
      <c r="E15" s="125">
        <v>36.007894575405679</v>
      </c>
      <c r="F15" s="125">
        <v>36.007894575405679</v>
      </c>
      <c r="G15" s="125">
        <v>36.007894575405679</v>
      </c>
      <c r="H15" s="125">
        <v>36.007894575405679</v>
      </c>
      <c r="I15" s="125">
        <v>36.007894575405679</v>
      </c>
      <c r="J15" s="125">
        <v>36.007894575405679</v>
      </c>
      <c r="K15" s="125">
        <v>36.007894575405679</v>
      </c>
      <c r="L15" s="125">
        <v>36.007894575405679</v>
      </c>
      <c r="M15" s="442"/>
    </row>
    <row r="16" spans="1:15" x14ac:dyDescent="0.25">
      <c r="A16" s="115">
        <v>2010</v>
      </c>
      <c r="B16" s="125">
        <v>40.815353172271344</v>
      </c>
      <c r="C16" s="125">
        <v>40.815353172271344</v>
      </c>
      <c r="D16" s="125">
        <v>40.815353172271344</v>
      </c>
      <c r="E16" s="125">
        <v>40.815353172271344</v>
      </c>
      <c r="F16" s="125">
        <v>40.815353172271344</v>
      </c>
      <c r="G16" s="125">
        <v>40.815353172271344</v>
      </c>
      <c r="H16" s="125">
        <v>40.815353172271344</v>
      </c>
      <c r="I16" s="125">
        <v>40.815353172271344</v>
      </c>
      <c r="J16" s="125">
        <v>40.815353172271344</v>
      </c>
      <c r="K16" s="125">
        <v>40.815353172271344</v>
      </c>
      <c r="L16" s="125">
        <v>40.815353172271344</v>
      </c>
      <c r="M16" s="442"/>
    </row>
    <row r="17" spans="1:13" x14ac:dyDescent="0.25">
      <c r="A17" s="115">
        <v>2011</v>
      </c>
      <c r="B17" s="125">
        <v>43.268992990071645</v>
      </c>
      <c r="C17" s="125">
        <v>43.268992990071645</v>
      </c>
      <c r="D17" s="125">
        <v>43.268992990071645</v>
      </c>
      <c r="E17" s="125">
        <v>43.268992990071645</v>
      </c>
      <c r="F17" s="125">
        <v>43.268992990071645</v>
      </c>
      <c r="G17" s="125">
        <v>43.268992990071645</v>
      </c>
      <c r="H17" s="125">
        <v>43.268992990071645</v>
      </c>
      <c r="I17" s="125">
        <v>43.268992990071645</v>
      </c>
      <c r="J17" s="125">
        <v>43.268992990071645</v>
      </c>
      <c r="K17" s="125">
        <v>43.268992990071645</v>
      </c>
      <c r="L17" s="125">
        <v>43.268992990071645</v>
      </c>
      <c r="M17" s="442"/>
    </row>
    <row r="18" spans="1:13" x14ac:dyDescent="0.25">
      <c r="A18" s="115">
        <v>2012</v>
      </c>
      <c r="B18" s="125">
        <v>51.938274567594242</v>
      </c>
      <c r="C18" s="125">
        <v>51.938274567594242</v>
      </c>
      <c r="D18" s="125">
        <v>51.938274567594242</v>
      </c>
      <c r="E18" s="125">
        <v>51.938274567594242</v>
      </c>
      <c r="F18" s="125">
        <v>51.938274567594242</v>
      </c>
      <c r="G18" s="125">
        <v>51.938274567594242</v>
      </c>
      <c r="H18" s="125">
        <v>51.938274567594242</v>
      </c>
      <c r="I18" s="125">
        <v>51.938274567594242</v>
      </c>
      <c r="J18" s="125">
        <v>51.938274567594242</v>
      </c>
      <c r="K18" s="125">
        <v>51.938274567594242</v>
      </c>
      <c r="L18" s="125">
        <v>51.938274567594242</v>
      </c>
      <c r="M18" s="442"/>
    </row>
    <row r="19" spans="1:13" x14ac:dyDescent="0.25">
      <c r="A19" s="115">
        <v>2013</v>
      </c>
      <c r="B19" s="125">
        <v>54.559832040831324</v>
      </c>
      <c r="C19" s="125">
        <v>54.559832040831324</v>
      </c>
      <c r="D19" s="125">
        <v>54.559832040831324</v>
      </c>
      <c r="E19" s="125">
        <v>54.559832040831324</v>
      </c>
      <c r="F19" s="125">
        <v>54.559832040831324</v>
      </c>
      <c r="G19" s="125">
        <v>54.559832040831324</v>
      </c>
      <c r="H19" s="125">
        <v>54.559832040831324</v>
      </c>
      <c r="I19" s="125">
        <v>54.559832040831324</v>
      </c>
      <c r="J19" s="125">
        <v>54.559832040831324</v>
      </c>
      <c r="K19" s="125">
        <v>54.559832040831324</v>
      </c>
      <c r="L19" s="125">
        <v>54.559832040831324</v>
      </c>
      <c r="M19" s="442"/>
    </row>
    <row r="20" spans="1:13" x14ac:dyDescent="0.25">
      <c r="A20" s="115">
        <v>2014</v>
      </c>
      <c r="B20" s="125">
        <v>53.897262691251328</v>
      </c>
      <c r="C20" s="125">
        <v>53.897262691251328</v>
      </c>
      <c r="D20" s="125">
        <v>53.897262691251328</v>
      </c>
      <c r="E20" s="125">
        <v>53.897262691251328</v>
      </c>
      <c r="F20" s="125">
        <v>53.897262691251328</v>
      </c>
      <c r="G20" s="125">
        <v>53.897262691251328</v>
      </c>
      <c r="H20" s="125">
        <v>53.897262691251328</v>
      </c>
      <c r="I20" s="125">
        <v>53.897262691251328</v>
      </c>
      <c r="J20" s="125">
        <v>53.897262691251328</v>
      </c>
      <c r="K20" s="125">
        <v>53.897262691251328</v>
      </c>
      <c r="L20" s="125">
        <v>53.897262691251328</v>
      </c>
      <c r="M20" s="442"/>
    </row>
    <row r="21" spans="1:13" x14ac:dyDescent="0.25">
      <c r="A21" s="115">
        <v>2015</v>
      </c>
      <c r="B21" s="125">
        <v>52.894261521267879</v>
      </c>
      <c r="C21" s="125">
        <v>52.894261521267879</v>
      </c>
      <c r="D21" s="125">
        <v>52.894261521267879</v>
      </c>
      <c r="E21" s="125">
        <v>52.894261521267879</v>
      </c>
      <c r="F21" s="125">
        <v>52.894261521267879</v>
      </c>
      <c r="G21" s="125">
        <v>52.894261521267879</v>
      </c>
      <c r="H21" s="125">
        <v>52.894261521267879</v>
      </c>
      <c r="I21" s="125">
        <v>52.894261521267879</v>
      </c>
      <c r="J21" s="125">
        <v>52.894261521267879</v>
      </c>
      <c r="K21" s="125">
        <v>52.894261521267879</v>
      </c>
      <c r="L21" s="125">
        <v>52.894261521267879</v>
      </c>
      <c r="M21" s="442"/>
    </row>
    <row r="22" spans="1:13" x14ac:dyDescent="0.25">
      <c r="A22" s="115">
        <v>2016</v>
      </c>
      <c r="B22" s="125">
        <v>51.944515578719063</v>
      </c>
      <c r="C22" s="125">
        <v>51.944515578719063</v>
      </c>
      <c r="D22" s="125">
        <v>51.944515578719063</v>
      </c>
      <c r="E22" s="125">
        <v>51.944515578719063</v>
      </c>
      <c r="F22" s="125">
        <v>51.944515578719063</v>
      </c>
      <c r="G22" s="125">
        <v>51.944515578719063</v>
      </c>
      <c r="H22" s="125">
        <v>51.944515578719063</v>
      </c>
      <c r="I22" s="125">
        <v>51.944515578719063</v>
      </c>
      <c r="J22" s="125">
        <v>51.944515578719063</v>
      </c>
      <c r="K22" s="125">
        <v>51.944515578719063</v>
      </c>
      <c r="L22" s="125">
        <v>51.944515578719063</v>
      </c>
      <c r="M22" s="442"/>
    </row>
    <row r="23" spans="1:13" x14ac:dyDescent="0.25">
      <c r="A23" s="115">
        <v>2017</v>
      </c>
      <c r="B23" s="125">
        <v>51.753576813312797</v>
      </c>
      <c r="C23" s="125">
        <v>50.235480864223639</v>
      </c>
      <c r="D23" s="125">
        <v>46.255374932583216</v>
      </c>
      <c r="E23" s="125">
        <v>47.581882873443369</v>
      </c>
      <c r="F23" s="125">
        <v>48.554027824599814</v>
      </c>
      <c r="G23" s="125">
        <v>49.391972192517422</v>
      </c>
      <c r="H23" s="125">
        <v>50.179755741830235</v>
      </c>
      <c r="I23" s="125">
        <v>50.975486651027339</v>
      </c>
      <c r="J23" s="125">
        <v>51.871781061262212</v>
      </c>
      <c r="K23" s="125">
        <v>52.918790046165199</v>
      </c>
      <c r="L23" s="125">
        <v>54.3773914360536</v>
      </c>
      <c r="M23" s="445"/>
    </row>
    <row r="24" spans="1:13" x14ac:dyDescent="0.25">
      <c r="A24" s="115">
        <v>2018</v>
      </c>
      <c r="B24" s="125">
        <v>49.936921613254334</v>
      </c>
      <c r="C24" s="125">
        <v>48.383041215937922</v>
      </c>
      <c r="D24" s="125">
        <v>41.243264489479941</v>
      </c>
      <c r="E24" s="125">
        <v>43.560509182214183</v>
      </c>
      <c r="F24" s="125">
        <v>45.339302952266884</v>
      </c>
      <c r="G24" s="125">
        <v>46.778732885041229</v>
      </c>
      <c r="H24" s="125">
        <v>48.188405438691547</v>
      </c>
      <c r="I24" s="125">
        <v>49.674863622712095</v>
      </c>
      <c r="J24" s="125">
        <v>51.289635240652899</v>
      </c>
      <c r="K24" s="125">
        <v>53.150724565258024</v>
      </c>
      <c r="L24" s="125">
        <v>55.924034807771328</v>
      </c>
      <c r="M24" s="445"/>
    </row>
    <row r="25" spans="1:13" x14ac:dyDescent="0.25">
      <c r="A25" s="115">
        <v>2019</v>
      </c>
      <c r="B25" s="125">
        <v>47.993310076994348</v>
      </c>
      <c r="C25" s="125">
        <v>47.189153297182656</v>
      </c>
      <c r="D25" s="125">
        <v>38.430381773142528</v>
      </c>
      <c r="E25" s="125">
        <v>41.064562656063721</v>
      </c>
      <c r="F25" s="125">
        <v>43.40279284677051</v>
      </c>
      <c r="G25" s="125">
        <v>45.190834892182025</v>
      </c>
      <c r="H25" s="125">
        <v>46.894484690287435</v>
      </c>
      <c r="I25" s="125">
        <v>48.567225878065223</v>
      </c>
      <c r="J25" s="125">
        <v>50.681534774528892</v>
      </c>
      <c r="K25" s="125">
        <v>53.178442737085128</v>
      </c>
      <c r="L25" s="125">
        <v>56.700206697401221</v>
      </c>
      <c r="M25" s="445"/>
    </row>
    <row r="26" spans="1:13" x14ac:dyDescent="0.25">
      <c r="A26" s="645">
        <v>2020</v>
      </c>
      <c r="B26" s="646">
        <v>45.978313115681118</v>
      </c>
      <c r="C26" s="646">
        <v>46.76643025424405</v>
      </c>
      <c r="D26" s="646">
        <v>37.34920193809792</v>
      </c>
      <c r="E26" s="646">
        <v>40.390381385238179</v>
      </c>
      <c r="F26" s="646">
        <v>42.691456935065411</v>
      </c>
      <c r="G26" s="646">
        <v>44.60554065079026</v>
      </c>
      <c r="H26" s="646">
        <v>46.403398053635414</v>
      </c>
      <c r="I26" s="646">
        <v>48.350784063607101</v>
      </c>
      <c r="J26" s="646">
        <v>50.427286525496605</v>
      </c>
      <c r="K26" s="646">
        <v>53.248412737176373</v>
      </c>
      <c r="L26" s="646">
        <v>56.893323263747199</v>
      </c>
      <c r="M26" s="445"/>
    </row>
    <row r="27" spans="1:13" x14ac:dyDescent="0.25">
      <c r="A27" s="440"/>
      <c r="B27" s="440"/>
      <c r="C27" s="440"/>
      <c r="D27" s="440"/>
      <c r="E27" s="440"/>
      <c r="F27" s="440"/>
      <c r="G27" s="440"/>
      <c r="H27" s="440"/>
      <c r="I27" s="440"/>
      <c r="J27" s="440"/>
      <c r="K27" s="440"/>
      <c r="L27" s="440"/>
      <c r="M27" s="440"/>
    </row>
    <row r="28" spans="1:13" x14ac:dyDescent="0.25">
      <c r="A28" s="115"/>
      <c r="B28" s="446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</row>
    <row r="29" spans="1:13" x14ac:dyDescent="0.25">
      <c r="A29" s="115"/>
      <c r="B29" s="446"/>
      <c r="C29" s="446"/>
      <c r="D29" s="446"/>
      <c r="E29" s="446"/>
      <c r="F29" s="446"/>
      <c r="G29" s="446"/>
      <c r="H29" s="446"/>
      <c r="I29" s="446"/>
      <c r="J29" s="446"/>
      <c r="K29" s="446"/>
      <c r="L29" s="446"/>
      <c r="M29" s="446"/>
    </row>
    <row r="30" spans="1:13" x14ac:dyDescent="0.25">
      <c r="A30" s="115"/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</row>
    <row r="31" spans="1:13" x14ac:dyDescent="0.25">
      <c r="A31" s="115"/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</row>
    <row r="32" spans="1:13" x14ac:dyDescent="0.25">
      <c r="A32" s="419"/>
      <c r="B32" s="419" t="s">
        <v>746</v>
      </c>
      <c r="C32" s="419" t="s">
        <v>606</v>
      </c>
      <c r="D32" s="419"/>
      <c r="E32" s="419"/>
      <c r="F32" s="419"/>
      <c r="G32" s="419"/>
      <c r="H32" s="419"/>
      <c r="I32" s="419"/>
      <c r="J32" s="419"/>
      <c r="K32" s="419"/>
      <c r="L32" s="419"/>
      <c r="M32" s="419"/>
    </row>
    <row r="33" spans="1:18" x14ac:dyDescent="0.25">
      <c r="A33" s="645"/>
      <c r="B33" s="645" t="s">
        <v>604</v>
      </c>
      <c r="C33" s="645" t="s">
        <v>605</v>
      </c>
      <c r="D33" s="645"/>
      <c r="E33" s="645"/>
      <c r="F33" s="645"/>
      <c r="G33" s="645"/>
      <c r="H33" s="645"/>
      <c r="I33" s="645"/>
      <c r="J33" s="645"/>
      <c r="K33" s="645"/>
      <c r="L33" s="645"/>
      <c r="M33" s="645"/>
    </row>
    <row r="34" spans="1:18" x14ac:dyDescent="0.25">
      <c r="A34" s="115">
        <f>+A4</f>
        <v>1998</v>
      </c>
      <c r="B34" s="446">
        <f>+B4</f>
        <v>33.860943795753776</v>
      </c>
      <c r="C34" s="446">
        <f>+C4</f>
        <v>33.860943795753776</v>
      </c>
      <c r="D34" s="446">
        <f t="shared" ref="D34:D37" si="0">+B34-C34</f>
        <v>0</v>
      </c>
      <c r="E34" s="446">
        <f t="shared" ref="E34:E56" si="1">+D4</f>
        <v>33.860943795753776</v>
      </c>
      <c r="F34" s="446">
        <f t="shared" ref="F34:M56" si="2">+E4-D4</f>
        <v>0</v>
      </c>
      <c r="G34" s="446">
        <f t="shared" si="2"/>
        <v>0</v>
      </c>
      <c r="H34" s="446">
        <f t="shared" si="2"/>
        <v>0</v>
      </c>
      <c r="I34" s="446">
        <f t="shared" si="2"/>
        <v>0</v>
      </c>
      <c r="J34" s="446">
        <f t="shared" si="2"/>
        <v>0</v>
      </c>
      <c r="K34" s="446">
        <f t="shared" si="2"/>
        <v>0</v>
      </c>
      <c r="L34" s="446">
        <f t="shared" si="2"/>
        <v>0</v>
      </c>
      <c r="M34" s="446">
        <f t="shared" si="2"/>
        <v>0</v>
      </c>
    </row>
    <row r="35" spans="1:18" x14ac:dyDescent="0.25">
      <c r="A35" s="115">
        <f t="shared" ref="A35:C50" si="3">+A5</f>
        <v>1999</v>
      </c>
      <c r="B35" s="446">
        <f t="shared" si="3"/>
        <v>47.07994984798902</v>
      </c>
      <c r="C35" s="446">
        <f t="shared" si="3"/>
        <v>47.07994984798902</v>
      </c>
      <c r="D35" s="446">
        <f t="shared" si="0"/>
        <v>0</v>
      </c>
      <c r="E35" s="446">
        <f t="shared" si="1"/>
        <v>47.07994984798902</v>
      </c>
      <c r="F35" s="446">
        <f t="shared" si="2"/>
        <v>0</v>
      </c>
      <c r="G35" s="446">
        <f t="shared" si="2"/>
        <v>0</v>
      </c>
      <c r="H35" s="446">
        <f t="shared" si="2"/>
        <v>0</v>
      </c>
      <c r="I35" s="446">
        <f t="shared" si="2"/>
        <v>0</v>
      </c>
      <c r="J35" s="446">
        <f t="shared" si="2"/>
        <v>0</v>
      </c>
      <c r="K35" s="446">
        <f t="shared" si="2"/>
        <v>0</v>
      </c>
      <c r="L35" s="446">
        <f t="shared" si="2"/>
        <v>0</v>
      </c>
      <c r="M35" s="446">
        <f t="shared" si="2"/>
        <v>0</v>
      </c>
    </row>
    <row r="36" spans="1:18" x14ac:dyDescent="0.25">
      <c r="A36" s="115">
        <f t="shared" si="3"/>
        <v>2000</v>
      </c>
      <c r="B36" s="446">
        <f t="shared" si="3"/>
        <v>49.623613418770361</v>
      </c>
      <c r="C36" s="446">
        <f t="shared" si="3"/>
        <v>49.623613418770361</v>
      </c>
      <c r="D36" s="446">
        <f t="shared" si="0"/>
        <v>0</v>
      </c>
      <c r="E36" s="446">
        <f t="shared" si="1"/>
        <v>49.623613418770361</v>
      </c>
      <c r="F36" s="446">
        <f t="shared" si="2"/>
        <v>0</v>
      </c>
      <c r="G36" s="446">
        <f t="shared" si="2"/>
        <v>0</v>
      </c>
      <c r="H36" s="446">
        <f t="shared" si="2"/>
        <v>0</v>
      </c>
      <c r="I36" s="446">
        <f t="shared" si="2"/>
        <v>0</v>
      </c>
      <c r="J36" s="446">
        <f t="shared" si="2"/>
        <v>0</v>
      </c>
      <c r="K36" s="446">
        <f t="shared" si="2"/>
        <v>0</v>
      </c>
      <c r="L36" s="446">
        <f t="shared" si="2"/>
        <v>0</v>
      </c>
      <c r="M36" s="446">
        <f t="shared" si="2"/>
        <v>0</v>
      </c>
    </row>
    <row r="37" spans="1:18" x14ac:dyDescent="0.25">
      <c r="A37" s="115">
        <f t="shared" si="3"/>
        <v>2001</v>
      </c>
      <c r="B37" s="446">
        <f t="shared" si="3"/>
        <v>48.281258206277919</v>
      </c>
      <c r="C37" s="446">
        <f t="shared" si="3"/>
        <v>48.281258206277919</v>
      </c>
      <c r="D37" s="446">
        <f t="shared" si="0"/>
        <v>0</v>
      </c>
      <c r="E37" s="446">
        <f t="shared" si="1"/>
        <v>48.281258206277919</v>
      </c>
      <c r="F37" s="446">
        <f t="shared" si="2"/>
        <v>0</v>
      </c>
      <c r="G37" s="446">
        <f t="shared" si="2"/>
        <v>0</v>
      </c>
      <c r="H37" s="446">
        <f t="shared" si="2"/>
        <v>0</v>
      </c>
      <c r="I37" s="446">
        <f t="shared" si="2"/>
        <v>0</v>
      </c>
      <c r="J37" s="446">
        <f t="shared" si="2"/>
        <v>0</v>
      </c>
      <c r="K37" s="446">
        <f t="shared" si="2"/>
        <v>0</v>
      </c>
      <c r="L37" s="446">
        <f t="shared" si="2"/>
        <v>0</v>
      </c>
      <c r="M37" s="446">
        <f t="shared" si="2"/>
        <v>0</v>
      </c>
    </row>
    <row r="38" spans="1:18" x14ac:dyDescent="0.25">
      <c r="A38" s="115">
        <f t="shared" si="3"/>
        <v>2002</v>
      </c>
      <c r="B38" s="446">
        <f t="shared" si="3"/>
        <v>42.88215599197013</v>
      </c>
      <c r="C38" s="446">
        <f t="shared" si="3"/>
        <v>42.88215599197013</v>
      </c>
      <c r="D38" s="446">
        <f>+B38-C38</f>
        <v>0</v>
      </c>
      <c r="E38" s="447">
        <f t="shared" si="1"/>
        <v>42.88215599197013</v>
      </c>
      <c r="F38" s="447">
        <f>+E8-D8</f>
        <v>0</v>
      </c>
      <c r="G38" s="447">
        <f t="shared" si="2"/>
        <v>0</v>
      </c>
      <c r="H38" s="447">
        <f t="shared" si="2"/>
        <v>0</v>
      </c>
      <c r="I38" s="447">
        <f t="shared" si="2"/>
        <v>0</v>
      </c>
      <c r="J38" s="447">
        <f t="shared" si="2"/>
        <v>0</v>
      </c>
      <c r="K38" s="447">
        <f t="shared" si="2"/>
        <v>0</v>
      </c>
      <c r="L38" s="447">
        <f t="shared" si="2"/>
        <v>0</v>
      </c>
      <c r="M38" s="447">
        <f t="shared" si="2"/>
        <v>0</v>
      </c>
    </row>
    <row r="39" spans="1:18" x14ac:dyDescent="0.25">
      <c r="A39" s="115">
        <f t="shared" si="3"/>
        <v>2003</v>
      </c>
      <c r="B39" s="446">
        <f t="shared" si="3"/>
        <v>41.588629367554795</v>
      </c>
      <c r="C39" s="446">
        <f t="shared" si="3"/>
        <v>41.588629367554795</v>
      </c>
      <c r="D39" s="446">
        <f t="shared" ref="D39:D56" si="4">+B39-C39</f>
        <v>0</v>
      </c>
      <c r="E39" s="447">
        <f t="shared" si="1"/>
        <v>41.588629367554795</v>
      </c>
      <c r="F39" s="447">
        <f t="shared" si="2"/>
        <v>0</v>
      </c>
      <c r="G39" s="447">
        <f t="shared" si="2"/>
        <v>0</v>
      </c>
      <c r="H39" s="447">
        <f t="shared" si="2"/>
        <v>0</v>
      </c>
      <c r="I39" s="447">
        <f t="shared" si="2"/>
        <v>0</v>
      </c>
      <c r="J39" s="447">
        <f t="shared" si="2"/>
        <v>0</v>
      </c>
      <c r="K39" s="447">
        <f t="shared" si="2"/>
        <v>0</v>
      </c>
      <c r="L39" s="447">
        <f t="shared" si="2"/>
        <v>0</v>
      </c>
      <c r="M39" s="447">
        <f t="shared" si="2"/>
        <v>0</v>
      </c>
      <c r="Q39" s="445"/>
      <c r="R39" s="445"/>
    </row>
    <row r="40" spans="1:18" x14ac:dyDescent="0.25">
      <c r="A40" s="115">
        <f t="shared" si="3"/>
        <v>2004</v>
      </c>
      <c r="B40" s="446">
        <f t="shared" si="3"/>
        <v>40.639217872327734</v>
      </c>
      <c r="C40" s="446">
        <f t="shared" si="3"/>
        <v>40.639217872327734</v>
      </c>
      <c r="D40" s="446">
        <f t="shared" si="4"/>
        <v>0</v>
      </c>
      <c r="E40" s="447">
        <f t="shared" si="1"/>
        <v>40.639217872327734</v>
      </c>
      <c r="F40" s="447">
        <f t="shared" si="2"/>
        <v>0</v>
      </c>
      <c r="G40" s="447">
        <f t="shared" si="2"/>
        <v>0</v>
      </c>
      <c r="H40" s="447">
        <f t="shared" si="2"/>
        <v>0</v>
      </c>
      <c r="I40" s="447">
        <f t="shared" si="2"/>
        <v>0</v>
      </c>
      <c r="J40" s="447">
        <f t="shared" si="2"/>
        <v>0</v>
      </c>
      <c r="K40" s="447">
        <f t="shared" si="2"/>
        <v>0</v>
      </c>
      <c r="L40" s="447">
        <f t="shared" si="2"/>
        <v>0</v>
      </c>
      <c r="M40" s="447">
        <f t="shared" si="2"/>
        <v>0</v>
      </c>
      <c r="Q40" s="445"/>
      <c r="R40" s="445"/>
    </row>
    <row r="41" spans="1:18" x14ac:dyDescent="0.25">
      <c r="A41" s="115">
        <f t="shared" si="3"/>
        <v>2005</v>
      </c>
      <c r="B41" s="446">
        <f t="shared" si="3"/>
        <v>33.928324096966726</v>
      </c>
      <c r="C41" s="446">
        <f t="shared" si="3"/>
        <v>33.928324096966726</v>
      </c>
      <c r="D41" s="446">
        <f t="shared" si="4"/>
        <v>0</v>
      </c>
      <c r="E41" s="447">
        <f t="shared" si="1"/>
        <v>33.928324096966726</v>
      </c>
      <c r="F41" s="447">
        <f t="shared" si="2"/>
        <v>0</v>
      </c>
      <c r="G41" s="447">
        <f t="shared" si="2"/>
        <v>0</v>
      </c>
      <c r="H41" s="447">
        <f t="shared" si="2"/>
        <v>0</v>
      </c>
      <c r="I41" s="447">
        <f t="shared" si="2"/>
        <v>0</v>
      </c>
      <c r="J41" s="447">
        <f t="shared" si="2"/>
        <v>0</v>
      </c>
      <c r="K41" s="447">
        <f t="shared" si="2"/>
        <v>0</v>
      </c>
      <c r="L41" s="447">
        <f t="shared" si="2"/>
        <v>0</v>
      </c>
      <c r="M41" s="447">
        <f t="shared" si="2"/>
        <v>0</v>
      </c>
      <c r="Q41" s="445"/>
      <c r="R41" s="445"/>
    </row>
    <row r="42" spans="1:18" x14ac:dyDescent="0.25">
      <c r="A42" s="115">
        <f t="shared" si="3"/>
        <v>2006</v>
      </c>
      <c r="B42" s="446">
        <f t="shared" si="3"/>
        <v>30.767079387245609</v>
      </c>
      <c r="C42" s="446">
        <f t="shared" si="3"/>
        <v>30.767079387245609</v>
      </c>
      <c r="D42" s="446">
        <f t="shared" si="4"/>
        <v>0</v>
      </c>
      <c r="E42" s="447">
        <f t="shared" si="1"/>
        <v>30.767079387245609</v>
      </c>
      <c r="F42" s="447">
        <f t="shared" si="2"/>
        <v>0</v>
      </c>
      <c r="G42" s="447">
        <f t="shared" si="2"/>
        <v>0</v>
      </c>
      <c r="H42" s="447">
        <f t="shared" si="2"/>
        <v>0</v>
      </c>
      <c r="I42" s="447">
        <f t="shared" si="2"/>
        <v>0</v>
      </c>
      <c r="J42" s="447">
        <f t="shared" si="2"/>
        <v>0</v>
      </c>
      <c r="K42" s="447">
        <f t="shared" si="2"/>
        <v>0</v>
      </c>
      <c r="L42" s="447">
        <f t="shared" si="2"/>
        <v>0</v>
      </c>
      <c r="M42" s="447">
        <f t="shared" si="2"/>
        <v>0</v>
      </c>
      <c r="Q42" s="445"/>
      <c r="R42" s="445"/>
    </row>
    <row r="43" spans="1:18" x14ac:dyDescent="0.25">
      <c r="A43" s="115">
        <f t="shared" si="3"/>
        <v>2007</v>
      </c>
      <c r="B43" s="446">
        <f t="shared" si="3"/>
        <v>29.897666684381687</v>
      </c>
      <c r="C43" s="446">
        <f t="shared" si="3"/>
        <v>29.897666684381687</v>
      </c>
      <c r="D43" s="446">
        <f t="shared" si="4"/>
        <v>0</v>
      </c>
      <c r="E43" s="447">
        <f t="shared" si="1"/>
        <v>29.897666684381687</v>
      </c>
      <c r="F43" s="447">
        <f t="shared" si="2"/>
        <v>0</v>
      </c>
      <c r="G43" s="447">
        <f t="shared" si="2"/>
        <v>0</v>
      </c>
      <c r="H43" s="447">
        <f t="shared" si="2"/>
        <v>0</v>
      </c>
      <c r="I43" s="447">
        <f t="shared" si="2"/>
        <v>0</v>
      </c>
      <c r="J43" s="447">
        <f t="shared" si="2"/>
        <v>0</v>
      </c>
      <c r="K43" s="447">
        <f t="shared" si="2"/>
        <v>0</v>
      </c>
      <c r="L43" s="447">
        <f t="shared" si="2"/>
        <v>0</v>
      </c>
      <c r="M43" s="447">
        <f t="shared" si="2"/>
        <v>0</v>
      </c>
      <c r="Q43" s="445"/>
      <c r="R43" s="445"/>
    </row>
    <row r="44" spans="1:18" x14ac:dyDescent="0.25">
      <c r="A44" s="115">
        <f t="shared" si="3"/>
        <v>2008</v>
      </c>
      <c r="B44" s="446">
        <f t="shared" si="3"/>
        <v>28.21367341902042</v>
      </c>
      <c r="C44" s="446">
        <f t="shared" si="3"/>
        <v>28.21367341902042</v>
      </c>
      <c r="D44" s="446">
        <f t="shared" si="4"/>
        <v>0</v>
      </c>
      <c r="E44" s="447">
        <f t="shared" si="1"/>
        <v>28.21367341902042</v>
      </c>
      <c r="F44" s="447">
        <f t="shared" si="2"/>
        <v>0</v>
      </c>
      <c r="G44" s="447">
        <f t="shared" si="2"/>
        <v>0</v>
      </c>
      <c r="H44" s="447">
        <f t="shared" si="2"/>
        <v>0</v>
      </c>
      <c r="I44" s="447">
        <f t="shared" si="2"/>
        <v>0</v>
      </c>
      <c r="J44" s="447">
        <f t="shared" si="2"/>
        <v>0</v>
      </c>
      <c r="K44" s="447">
        <f t="shared" si="2"/>
        <v>0</v>
      </c>
      <c r="L44" s="447">
        <f t="shared" si="2"/>
        <v>0</v>
      </c>
      <c r="M44" s="447">
        <f t="shared" si="2"/>
        <v>0</v>
      </c>
      <c r="Q44" s="445"/>
      <c r="R44" s="445"/>
    </row>
    <row r="45" spans="1:18" x14ac:dyDescent="0.25">
      <c r="A45" s="115">
        <f t="shared" si="3"/>
        <v>2009</v>
      </c>
      <c r="B45" s="446">
        <f t="shared" si="3"/>
        <v>36.007894575405679</v>
      </c>
      <c r="C45" s="446">
        <f t="shared" si="3"/>
        <v>36.007894575405679</v>
      </c>
      <c r="D45" s="446">
        <f t="shared" si="4"/>
        <v>0</v>
      </c>
      <c r="E45" s="447">
        <f t="shared" si="1"/>
        <v>36.007894575405679</v>
      </c>
      <c r="F45" s="447">
        <f t="shared" si="2"/>
        <v>0</v>
      </c>
      <c r="G45" s="447">
        <f t="shared" si="2"/>
        <v>0</v>
      </c>
      <c r="H45" s="447">
        <f t="shared" si="2"/>
        <v>0</v>
      </c>
      <c r="I45" s="447">
        <f t="shared" si="2"/>
        <v>0</v>
      </c>
      <c r="J45" s="447">
        <f t="shared" si="2"/>
        <v>0</v>
      </c>
      <c r="K45" s="447">
        <f t="shared" si="2"/>
        <v>0</v>
      </c>
      <c r="L45" s="447">
        <f t="shared" si="2"/>
        <v>0</v>
      </c>
      <c r="M45" s="447">
        <f t="shared" si="2"/>
        <v>0</v>
      </c>
    </row>
    <row r="46" spans="1:18" x14ac:dyDescent="0.25">
      <c r="A46" s="115">
        <f t="shared" si="3"/>
        <v>2010</v>
      </c>
      <c r="B46" s="446">
        <f t="shared" si="3"/>
        <v>40.815353172271344</v>
      </c>
      <c r="C46" s="446">
        <f t="shared" si="3"/>
        <v>40.815353172271344</v>
      </c>
      <c r="D46" s="446">
        <f t="shared" si="4"/>
        <v>0</v>
      </c>
      <c r="E46" s="447">
        <f t="shared" si="1"/>
        <v>40.815353172271344</v>
      </c>
      <c r="F46" s="447">
        <f t="shared" si="2"/>
        <v>0</v>
      </c>
      <c r="G46" s="447">
        <f t="shared" si="2"/>
        <v>0</v>
      </c>
      <c r="H46" s="447">
        <f t="shared" si="2"/>
        <v>0</v>
      </c>
      <c r="I46" s="447">
        <f t="shared" si="2"/>
        <v>0</v>
      </c>
      <c r="J46" s="447">
        <f t="shared" si="2"/>
        <v>0</v>
      </c>
      <c r="K46" s="447">
        <f t="shared" si="2"/>
        <v>0</v>
      </c>
      <c r="L46" s="447">
        <f t="shared" si="2"/>
        <v>0</v>
      </c>
      <c r="M46" s="447">
        <f t="shared" si="2"/>
        <v>0</v>
      </c>
    </row>
    <row r="47" spans="1:18" x14ac:dyDescent="0.25">
      <c r="A47" s="115">
        <f t="shared" si="3"/>
        <v>2011</v>
      </c>
      <c r="B47" s="446">
        <f t="shared" si="3"/>
        <v>43.268992990071645</v>
      </c>
      <c r="C47" s="446">
        <f t="shared" si="3"/>
        <v>43.268992990071645</v>
      </c>
      <c r="D47" s="446">
        <f t="shared" si="4"/>
        <v>0</v>
      </c>
      <c r="E47" s="447">
        <f t="shared" si="1"/>
        <v>43.268992990071645</v>
      </c>
      <c r="F47" s="447">
        <f t="shared" si="2"/>
        <v>0</v>
      </c>
      <c r="G47" s="447">
        <f t="shared" si="2"/>
        <v>0</v>
      </c>
      <c r="H47" s="447">
        <f t="shared" si="2"/>
        <v>0</v>
      </c>
      <c r="I47" s="447">
        <f t="shared" si="2"/>
        <v>0</v>
      </c>
      <c r="J47" s="447">
        <f t="shared" si="2"/>
        <v>0</v>
      </c>
      <c r="K47" s="447">
        <f t="shared" si="2"/>
        <v>0</v>
      </c>
      <c r="L47" s="447">
        <f t="shared" si="2"/>
        <v>0</v>
      </c>
      <c r="M47" s="447">
        <f t="shared" si="2"/>
        <v>0</v>
      </c>
    </row>
    <row r="48" spans="1:18" x14ac:dyDescent="0.25">
      <c r="A48" s="115">
        <f t="shared" si="3"/>
        <v>2012</v>
      </c>
      <c r="B48" s="446">
        <f t="shared" si="3"/>
        <v>51.938274567594242</v>
      </c>
      <c r="C48" s="446">
        <f t="shared" si="3"/>
        <v>51.938274567594242</v>
      </c>
      <c r="D48" s="446">
        <f t="shared" si="4"/>
        <v>0</v>
      </c>
      <c r="E48" s="447">
        <f t="shared" si="1"/>
        <v>51.938274567594242</v>
      </c>
      <c r="F48" s="447">
        <f t="shared" si="2"/>
        <v>0</v>
      </c>
      <c r="G48" s="447">
        <f t="shared" si="2"/>
        <v>0</v>
      </c>
      <c r="H48" s="447">
        <f t="shared" si="2"/>
        <v>0</v>
      </c>
      <c r="I48" s="447">
        <f t="shared" si="2"/>
        <v>0</v>
      </c>
      <c r="J48" s="447">
        <f t="shared" si="2"/>
        <v>0</v>
      </c>
      <c r="K48" s="447">
        <f t="shared" si="2"/>
        <v>0</v>
      </c>
      <c r="L48" s="447">
        <f t="shared" si="2"/>
        <v>0</v>
      </c>
      <c r="M48" s="447">
        <f t="shared" si="2"/>
        <v>0</v>
      </c>
    </row>
    <row r="49" spans="1:13" x14ac:dyDescent="0.25">
      <c r="A49" s="115">
        <f t="shared" si="3"/>
        <v>2013</v>
      </c>
      <c r="B49" s="446">
        <f t="shared" si="3"/>
        <v>54.559832040831324</v>
      </c>
      <c r="C49" s="446">
        <f t="shared" si="3"/>
        <v>54.559832040831324</v>
      </c>
      <c r="D49" s="446">
        <f t="shared" si="4"/>
        <v>0</v>
      </c>
      <c r="E49" s="447">
        <f t="shared" si="1"/>
        <v>54.559832040831324</v>
      </c>
      <c r="F49" s="447">
        <f t="shared" si="2"/>
        <v>0</v>
      </c>
      <c r="G49" s="447">
        <f t="shared" si="2"/>
        <v>0</v>
      </c>
      <c r="H49" s="447">
        <f t="shared" si="2"/>
        <v>0</v>
      </c>
      <c r="I49" s="447">
        <f t="shared" si="2"/>
        <v>0</v>
      </c>
      <c r="J49" s="447">
        <f t="shared" si="2"/>
        <v>0</v>
      </c>
      <c r="K49" s="447">
        <f t="shared" si="2"/>
        <v>0</v>
      </c>
      <c r="L49" s="447">
        <f t="shared" si="2"/>
        <v>0</v>
      </c>
      <c r="M49" s="447">
        <f t="shared" si="2"/>
        <v>0</v>
      </c>
    </row>
    <row r="50" spans="1:13" x14ac:dyDescent="0.25">
      <c r="A50" s="115">
        <f t="shared" si="3"/>
        <v>2014</v>
      </c>
      <c r="B50" s="446">
        <f t="shared" si="3"/>
        <v>53.897262691251328</v>
      </c>
      <c r="C50" s="446">
        <f t="shared" si="3"/>
        <v>53.897262691251328</v>
      </c>
      <c r="D50" s="446">
        <f t="shared" si="4"/>
        <v>0</v>
      </c>
      <c r="E50" s="447">
        <f t="shared" si="1"/>
        <v>53.897262691251328</v>
      </c>
      <c r="F50" s="447">
        <f t="shared" si="2"/>
        <v>0</v>
      </c>
      <c r="G50" s="447">
        <f t="shared" si="2"/>
        <v>0</v>
      </c>
      <c r="H50" s="447">
        <f t="shared" si="2"/>
        <v>0</v>
      </c>
      <c r="I50" s="447">
        <f t="shared" si="2"/>
        <v>0</v>
      </c>
      <c r="J50" s="447">
        <f t="shared" si="2"/>
        <v>0</v>
      </c>
      <c r="K50" s="447">
        <f t="shared" si="2"/>
        <v>0</v>
      </c>
      <c r="L50" s="447">
        <f t="shared" si="2"/>
        <v>0</v>
      </c>
      <c r="M50" s="447">
        <f t="shared" si="2"/>
        <v>0</v>
      </c>
    </row>
    <row r="51" spans="1:13" x14ac:dyDescent="0.25">
      <c r="A51" s="115">
        <f t="shared" ref="A51:C56" si="5">+A21</f>
        <v>2015</v>
      </c>
      <c r="B51" s="446">
        <f t="shared" si="5"/>
        <v>52.894261521267879</v>
      </c>
      <c r="C51" s="446">
        <f t="shared" si="5"/>
        <v>52.894261521267879</v>
      </c>
      <c r="D51" s="446">
        <f t="shared" si="4"/>
        <v>0</v>
      </c>
      <c r="E51" s="447">
        <f t="shared" si="1"/>
        <v>52.894261521267879</v>
      </c>
      <c r="F51" s="447">
        <f t="shared" si="2"/>
        <v>0</v>
      </c>
      <c r="G51" s="447">
        <f t="shared" si="2"/>
        <v>0</v>
      </c>
      <c r="H51" s="447">
        <f t="shared" si="2"/>
        <v>0</v>
      </c>
      <c r="I51" s="447">
        <f t="shared" si="2"/>
        <v>0</v>
      </c>
      <c r="J51" s="447">
        <f t="shared" si="2"/>
        <v>0</v>
      </c>
      <c r="K51" s="447">
        <f t="shared" si="2"/>
        <v>0</v>
      </c>
      <c r="L51" s="447">
        <f t="shared" si="2"/>
        <v>0</v>
      </c>
      <c r="M51" s="447">
        <f t="shared" si="2"/>
        <v>0</v>
      </c>
    </row>
    <row r="52" spans="1:13" x14ac:dyDescent="0.25">
      <c r="A52" s="115">
        <f t="shared" si="5"/>
        <v>2016</v>
      </c>
      <c r="B52" s="446">
        <f t="shared" si="5"/>
        <v>51.944515578719063</v>
      </c>
      <c r="C52" s="446">
        <f t="shared" si="5"/>
        <v>51.944515578719063</v>
      </c>
      <c r="D52" s="446">
        <f t="shared" si="4"/>
        <v>0</v>
      </c>
      <c r="E52" s="447">
        <f t="shared" si="1"/>
        <v>51.944515578719063</v>
      </c>
      <c r="F52" s="447">
        <f t="shared" si="2"/>
        <v>0</v>
      </c>
      <c r="G52" s="447">
        <f t="shared" si="2"/>
        <v>0</v>
      </c>
      <c r="H52" s="447">
        <f t="shared" si="2"/>
        <v>0</v>
      </c>
      <c r="I52" s="447">
        <f t="shared" si="2"/>
        <v>0</v>
      </c>
      <c r="J52" s="447">
        <f t="shared" si="2"/>
        <v>0</v>
      </c>
      <c r="K52" s="447">
        <f t="shared" si="2"/>
        <v>0</v>
      </c>
      <c r="L52" s="447">
        <f t="shared" si="2"/>
        <v>0</v>
      </c>
      <c r="M52" s="447">
        <f t="shared" si="2"/>
        <v>0</v>
      </c>
    </row>
    <row r="53" spans="1:13" x14ac:dyDescent="0.25">
      <c r="A53" s="115">
        <f t="shared" si="5"/>
        <v>2017</v>
      </c>
      <c r="B53" s="446">
        <f t="shared" si="5"/>
        <v>51.753576813312797</v>
      </c>
      <c r="C53" s="446">
        <f t="shared" si="5"/>
        <v>50.235480864223639</v>
      </c>
      <c r="D53" s="125">
        <f t="shared" si="4"/>
        <v>1.5180959490891581</v>
      </c>
      <c r="E53" s="447">
        <f t="shared" si="1"/>
        <v>46.255374932583216</v>
      </c>
      <c r="F53" s="447">
        <f t="shared" si="2"/>
        <v>1.3265079408601537</v>
      </c>
      <c r="G53" s="447">
        <f t="shared" si="2"/>
        <v>0.97214495115644439</v>
      </c>
      <c r="H53" s="447">
        <f t="shared" si="2"/>
        <v>0.83794436791760774</v>
      </c>
      <c r="I53" s="447">
        <f t="shared" si="2"/>
        <v>0.78778354931281314</v>
      </c>
      <c r="J53" s="447">
        <f t="shared" si="2"/>
        <v>0.7957309091971041</v>
      </c>
      <c r="K53" s="447">
        <f t="shared" si="2"/>
        <v>0.89629441023487288</v>
      </c>
      <c r="L53" s="447">
        <f t="shared" si="2"/>
        <v>1.0470089849029875</v>
      </c>
      <c r="M53" s="447">
        <f t="shared" si="2"/>
        <v>1.4586013898884005</v>
      </c>
    </row>
    <row r="54" spans="1:13" x14ac:dyDescent="0.25">
      <c r="A54" s="115">
        <f t="shared" si="5"/>
        <v>2018</v>
      </c>
      <c r="B54" s="446">
        <f t="shared" si="5"/>
        <v>49.936921613254334</v>
      </c>
      <c r="C54" s="446">
        <f t="shared" si="5"/>
        <v>48.383041215937922</v>
      </c>
      <c r="D54" s="125">
        <f t="shared" si="4"/>
        <v>1.5538803973164121</v>
      </c>
      <c r="E54" s="447">
        <f t="shared" si="1"/>
        <v>41.243264489479941</v>
      </c>
      <c r="F54" s="447">
        <f t="shared" si="2"/>
        <v>2.3172446927342421</v>
      </c>
      <c r="G54" s="447">
        <f t="shared" si="2"/>
        <v>1.778793770052701</v>
      </c>
      <c r="H54" s="447">
        <f t="shared" si="2"/>
        <v>1.4394299327743454</v>
      </c>
      <c r="I54" s="447">
        <f t="shared" si="2"/>
        <v>1.4096725536503172</v>
      </c>
      <c r="J54" s="447">
        <f t="shared" si="2"/>
        <v>1.4864581840205489</v>
      </c>
      <c r="K54" s="447">
        <f t="shared" si="2"/>
        <v>1.6147716179408036</v>
      </c>
      <c r="L54" s="447">
        <f t="shared" si="2"/>
        <v>1.8610893246051248</v>
      </c>
      <c r="M54" s="447">
        <f t="shared" si="2"/>
        <v>2.773310242513304</v>
      </c>
    </row>
    <row r="55" spans="1:13" x14ac:dyDescent="0.25">
      <c r="A55" s="115">
        <f t="shared" si="5"/>
        <v>2019</v>
      </c>
      <c r="B55" s="446">
        <f t="shared" si="5"/>
        <v>47.993310076994348</v>
      </c>
      <c r="C55" s="446">
        <f t="shared" si="5"/>
        <v>47.189153297182656</v>
      </c>
      <c r="D55" s="125">
        <f t="shared" si="4"/>
        <v>0.80415677981169154</v>
      </c>
      <c r="E55" s="447">
        <f t="shared" si="1"/>
        <v>38.430381773142528</v>
      </c>
      <c r="F55" s="447">
        <f t="shared" si="2"/>
        <v>2.6341808829211928</v>
      </c>
      <c r="G55" s="447">
        <f t="shared" si="2"/>
        <v>2.3382301907067884</v>
      </c>
      <c r="H55" s="447">
        <f t="shared" si="2"/>
        <v>1.7880420454115153</v>
      </c>
      <c r="I55" s="447">
        <f t="shared" si="2"/>
        <v>1.7036497981054097</v>
      </c>
      <c r="J55" s="447">
        <f t="shared" si="2"/>
        <v>1.6727411877777882</v>
      </c>
      <c r="K55" s="447">
        <f t="shared" si="2"/>
        <v>2.1143088964636689</v>
      </c>
      <c r="L55" s="447">
        <f t="shared" si="2"/>
        <v>2.4969079625562358</v>
      </c>
      <c r="M55" s="447">
        <f t="shared" si="2"/>
        <v>3.5217639603160933</v>
      </c>
    </row>
    <row r="56" spans="1:13" x14ac:dyDescent="0.25">
      <c r="A56" s="645">
        <f t="shared" si="5"/>
        <v>2020</v>
      </c>
      <c r="B56" s="647">
        <f t="shared" si="5"/>
        <v>45.978313115681118</v>
      </c>
      <c r="C56" s="647">
        <f t="shared" si="5"/>
        <v>46.76643025424405</v>
      </c>
      <c r="D56" s="646">
        <f t="shared" si="4"/>
        <v>-0.78811713856293153</v>
      </c>
      <c r="E56" s="648">
        <f t="shared" si="1"/>
        <v>37.34920193809792</v>
      </c>
      <c r="F56" s="648">
        <f t="shared" si="2"/>
        <v>3.0411794471402587</v>
      </c>
      <c r="G56" s="648">
        <f t="shared" si="2"/>
        <v>2.3010755498272317</v>
      </c>
      <c r="H56" s="648">
        <f t="shared" si="2"/>
        <v>1.9140837157248498</v>
      </c>
      <c r="I56" s="648">
        <f t="shared" si="2"/>
        <v>1.7978574028451533</v>
      </c>
      <c r="J56" s="648">
        <f t="shared" si="2"/>
        <v>1.9473860099716873</v>
      </c>
      <c r="K56" s="648">
        <f t="shared" si="2"/>
        <v>2.076502461889504</v>
      </c>
      <c r="L56" s="648">
        <f t="shared" si="2"/>
        <v>2.8211262116797684</v>
      </c>
      <c r="M56" s="648">
        <f t="shared" si="2"/>
        <v>3.6449105265708255</v>
      </c>
    </row>
    <row r="57" spans="1:13" x14ac:dyDescent="0.25">
      <c r="A57" s="445"/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6"/>
  <dimension ref="A1:O181"/>
  <sheetViews>
    <sheetView showGridLines="0" zoomScale="85" zoomScaleNormal="85" workbookViewId="0"/>
  </sheetViews>
  <sheetFormatPr defaultRowHeight="13.5" x14ac:dyDescent="0.25"/>
  <cols>
    <col min="1" max="1" width="9.140625" style="40"/>
    <col min="2" max="2" width="9.85546875" style="40" bestFit="1" customWidth="1"/>
    <col min="3" max="3" width="14.42578125" style="40" customWidth="1"/>
    <col min="4" max="11" width="9.140625" style="40"/>
    <col min="12" max="12" width="13.28515625" style="40" customWidth="1"/>
    <col min="13" max="13" width="13.28515625" style="393" customWidth="1"/>
    <col min="14" max="14" width="9.140625" style="40"/>
    <col min="15" max="15" width="13.28515625" style="40" bestFit="1" customWidth="1"/>
    <col min="16" max="16384" width="9.140625" style="40"/>
  </cols>
  <sheetData>
    <row r="1" spans="1:15" ht="14.25" thickBot="1" x14ac:dyDescent="0.3">
      <c r="K1" s="134" t="s">
        <v>521</v>
      </c>
      <c r="L1" s="448" t="s">
        <v>336</v>
      </c>
      <c r="M1" s="644"/>
      <c r="N1" s="134" t="s">
        <v>518</v>
      </c>
      <c r="O1" s="448" t="s">
        <v>519</v>
      </c>
    </row>
    <row r="2" spans="1:15" x14ac:dyDescent="0.25">
      <c r="K2" s="449">
        <v>38748</v>
      </c>
      <c r="L2" s="450">
        <v>1</v>
      </c>
      <c r="M2" s="450"/>
      <c r="N2" s="449">
        <v>38748</v>
      </c>
      <c r="O2" s="450">
        <v>1</v>
      </c>
    </row>
    <row r="3" spans="1:15" ht="14.25" thickBot="1" x14ac:dyDescent="0.3">
      <c r="A3" s="643" t="s">
        <v>1077</v>
      </c>
      <c r="B3" s="52"/>
      <c r="C3" s="52"/>
      <c r="D3" s="52"/>
      <c r="E3" s="52"/>
      <c r="F3" s="52"/>
      <c r="G3" s="52"/>
      <c r="H3" s="52"/>
      <c r="I3" s="52"/>
      <c r="K3" s="449">
        <v>38776</v>
      </c>
      <c r="L3" s="450">
        <v>1</v>
      </c>
      <c r="M3" s="450"/>
      <c r="N3" s="449">
        <v>38776</v>
      </c>
      <c r="O3" s="450">
        <v>1</v>
      </c>
    </row>
    <row r="4" spans="1:15" x14ac:dyDescent="0.25">
      <c r="K4" s="449">
        <v>38807</v>
      </c>
      <c r="L4" s="450">
        <v>8</v>
      </c>
      <c r="M4" s="450"/>
      <c r="N4" s="449">
        <v>38807</v>
      </c>
      <c r="O4" s="450">
        <v>8</v>
      </c>
    </row>
    <row r="5" spans="1:15" x14ac:dyDescent="0.25">
      <c r="K5" s="449">
        <v>38837</v>
      </c>
      <c r="L5" s="450">
        <v>8</v>
      </c>
      <c r="M5" s="450"/>
      <c r="N5" s="449">
        <v>38837</v>
      </c>
      <c r="O5" s="450">
        <v>8</v>
      </c>
    </row>
    <row r="6" spans="1:15" x14ac:dyDescent="0.25">
      <c r="K6" s="449">
        <v>38868</v>
      </c>
      <c r="L6" s="450">
        <v>8</v>
      </c>
      <c r="M6" s="450"/>
      <c r="N6" s="449">
        <v>38868</v>
      </c>
      <c r="O6" s="450">
        <v>8</v>
      </c>
    </row>
    <row r="7" spans="1:15" x14ac:dyDescent="0.25">
      <c r="K7" s="449">
        <v>38898</v>
      </c>
      <c r="L7" s="450">
        <v>7</v>
      </c>
      <c r="M7" s="450"/>
      <c r="N7" s="449">
        <v>38898</v>
      </c>
      <c r="O7" s="450">
        <v>7</v>
      </c>
    </row>
    <row r="8" spans="1:15" x14ac:dyDescent="0.25">
      <c r="K8" s="449">
        <v>38929</v>
      </c>
      <c r="L8" s="450">
        <v>6</v>
      </c>
      <c r="M8" s="450"/>
      <c r="N8" s="449">
        <v>38929</v>
      </c>
      <c r="O8" s="450">
        <v>6</v>
      </c>
    </row>
    <row r="9" spans="1:15" x14ac:dyDescent="0.25">
      <c r="K9" s="449">
        <v>38960</v>
      </c>
      <c r="L9" s="450">
        <v>5</v>
      </c>
      <c r="M9" s="450"/>
      <c r="N9" s="449">
        <v>38960</v>
      </c>
      <c r="O9" s="450">
        <v>5</v>
      </c>
    </row>
    <row r="10" spans="1:15" x14ac:dyDescent="0.25">
      <c r="K10" s="449">
        <v>38990</v>
      </c>
      <c r="L10" s="450">
        <v>4</v>
      </c>
      <c r="M10" s="450"/>
      <c r="N10" s="449">
        <v>38990</v>
      </c>
      <c r="O10" s="450">
        <v>4</v>
      </c>
    </row>
    <row r="11" spans="1:15" x14ac:dyDescent="0.25">
      <c r="K11" s="449">
        <v>39021</v>
      </c>
      <c r="L11" s="450">
        <v>3</v>
      </c>
      <c r="M11" s="450"/>
      <c r="N11" s="449">
        <v>39021</v>
      </c>
      <c r="O11" s="450">
        <v>3</v>
      </c>
    </row>
    <row r="12" spans="1:15" x14ac:dyDescent="0.25">
      <c r="K12" s="449">
        <v>39051</v>
      </c>
      <c r="L12" s="450">
        <v>2</v>
      </c>
      <c r="M12" s="450"/>
      <c r="N12" s="449">
        <v>39051</v>
      </c>
      <c r="O12" s="450">
        <v>2</v>
      </c>
    </row>
    <row r="13" spans="1:15" x14ac:dyDescent="0.25">
      <c r="K13" s="449">
        <v>39082</v>
      </c>
      <c r="L13" s="450">
        <v>1</v>
      </c>
      <c r="M13" s="450"/>
      <c r="N13" s="449">
        <v>39082</v>
      </c>
      <c r="O13" s="450">
        <v>1</v>
      </c>
    </row>
    <row r="14" spans="1:15" x14ac:dyDescent="0.25">
      <c r="K14" s="449">
        <v>39113</v>
      </c>
      <c r="L14" s="450">
        <v>2</v>
      </c>
      <c r="M14" s="450"/>
      <c r="N14" s="449">
        <v>39113</v>
      </c>
      <c r="O14" s="450">
        <v>2</v>
      </c>
    </row>
    <row r="15" spans="1:15" x14ac:dyDescent="0.25">
      <c r="K15" s="449">
        <v>39141</v>
      </c>
      <c r="L15" s="450">
        <v>8</v>
      </c>
      <c r="M15" s="450"/>
      <c r="N15" s="449">
        <v>39141</v>
      </c>
      <c r="O15" s="450">
        <v>8</v>
      </c>
    </row>
    <row r="16" spans="1:15" x14ac:dyDescent="0.25">
      <c r="K16" s="449">
        <v>39172</v>
      </c>
      <c r="L16" s="450">
        <v>8</v>
      </c>
      <c r="M16" s="450"/>
      <c r="N16" s="449">
        <v>39172</v>
      </c>
      <c r="O16" s="450">
        <v>8</v>
      </c>
    </row>
    <row r="17" spans="1:15" x14ac:dyDescent="0.25">
      <c r="K17" s="449">
        <v>39202</v>
      </c>
      <c r="L17" s="450">
        <v>8</v>
      </c>
      <c r="M17" s="450"/>
      <c r="N17" s="449">
        <v>39202</v>
      </c>
      <c r="O17" s="450">
        <v>8</v>
      </c>
    </row>
    <row r="18" spans="1:15" x14ac:dyDescent="0.25">
      <c r="K18" s="449">
        <v>39233</v>
      </c>
      <c r="L18" s="450">
        <v>8</v>
      </c>
      <c r="M18" s="450"/>
      <c r="N18" s="449">
        <v>39233</v>
      </c>
      <c r="O18" s="450">
        <v>8</v>
      </c>
    </row>
    <row r="19" spans="1:15" x14ac:dyDescent="0.25">
      <c r="K19" s="449">
        <v>39263</v>
      </c>
      <c r="L19" s="450">
        <v>8</v>
      </c>
      <c r="M19" s="450"/>
      <c r="N19" s="449">
        <v>39263</v>
      </c>
      <c r="O19" s="450">
        <v>8</v>
      </c>
    </row>
    <row r="20" spans="1:15" x14ac:dyDescent="0.25">
      <c r="K20" s="449">
        <v>39294</v>
      </c>
      <c r="L20" s="450">
        <v>8</v>
      </c>
      <c r="M20" s="450"/>
      <c r="N20" s="449">
        <v>39294</v>
      </c>
      <c r="O20" s="450">
        <v>8</v>
      </c>
    </row>
    <row r="21" spans="1:15" x14ac:dyDescent="0.25">
      <c r="K21" s="449">
        <v>39325</v>
      </c>
      <c r="L21" s="450">
        <v>8</v>
      </c>
      <c r="M21" s="450"/>
      <c r="N21" s="449">
        <v>39325</v>
      </c>
      <c r="O21" s="450">
        <v>8</v>
      </c>
    </row>
    <row r="22" spans="1:15" x14ac:dyDescent="0.25">
      <c r="H22" s="969" t="s">
        <v>21</v>
      </c>
      <c r="I22" s="969"/>
      <c r="K22" s="449">
        <v>39355</v>
      </c>
      <c r="L22" s="450">
        <v>6</v>
      </c>
      <c r="M22" s="450"/>
      <c r="N22" s="449">
        <v>39355</v>
      </c>
      <c r="O22" s="450">
        <v>6</v>
      </c>
    </row>
    <row r="23" spans="1:15" x14ac:dyDescent="0.25">
      <c r="K23" s="449">
        <v>39386</v>
      </c>
      <c r="L23" s="450">
        <v>5</v>
      </c>
      <c r="M23" s="450"/>
      <c r="N23" s="449">
        <v>39386</v>
      </c>
      <c r="O23" s="450">
        <v>5</v>
      </c>
    </row>
    <row r="24" spans="1:15" x14ac:dyDescent="0.25">
      <c r="K24" s="449">
        <v>39416</v>
      </c>
      <c r="L24" s="450">
        <v>6</v>
      </c>
      <c r="M24" s="450"/>
      <c r="N24" s="449">
        <v>39416</v>
      </c>
      <c r="O24" s="450">
        <v>6</v>
      </c>
    </row>
    <row r="25" spans="1:15" ht="14.25" thickBot="1" x14ac:dyDescent="0.3">
      <c r="A25" s="643" t="s">
        <v>1078</v>
      </c>
      <c r="B25" s="52"/>
      <c r="C25" s="52"/>
      <c r="D25" s="52"/>
      <c r="E25" s="52"/>
      <c r="F25" s="52"/>
      <c r="G25" s="52"/>
      <c r="H25" s="52"/>
      <c r="I25" s="52"/>
      <c r="K25" s="449">
        <v>39447</v>
      </c>
      <c r="L25" s="450">
        <v>5</v>
      </c>
      <c r="M25" s="450"/>
      <c r="N25" s="449">
        <v>39447</v>
      </c>
      <c r="O25" s="450">
        <v>5</v>
      </c>
    </row>
    <row r="26" spans="1:15" x14ac:dyDescent="0.25">
      <c r="K26" s="449">
        <v>39478</v>
      </c>
      <c r="L26" s="450">
        <v>8</v>
      </c>
      <c r="M26" s="450"/>
      <c r="N26" s="449">
        <v>39478</v>
      </c>
      <c r="O26" s="450">
        <v>8</v>
      </c>
    </row>
    <row r="27" spans="1:15" x14ac:dyDescent="0.25">
      <c r="K27" s="449">
        <v>39507</v>
      </c>
      <c r="L27" s="450">
        <v>8</v>
      </c>
      <c r="M27" s="450"/>
      <c r="N27" s="449">
        <v>39507</v>
      </c>
      <c r="O27" s="450">
        <v>8</v>
      </c>
    </row>
    <row r="28" spans="1:15" x14ac:dyDescent="0.25">
      <c r="K28" s="449">
        <v>39538</v>
      </c>
      <c r="L28" s="450">
        <v>8</v>
      </c>
      <c r="M28" s="450"/>
      <c r="N28" s="449">
        <v>39538</v>
      </c>
      <c r="O28" s="450">
        <v>8</v>
      </c>
    </row>
    <row r="29" spans="1:15" x14ac:dyDescent="0.25">
      <c r="K29" s="449">
        <v>39568</v>
      </c>
      <c r="L29" s="450">
        <v>8</v>
      </c>
      <c r="M29" s="450"/>
      <c r="N29" s="449">
        <v>39568</v>
      </c>
      <c r="O29" s="450">
        <v>8</v>
      </c>
    </row>
    <row r="30" spans="1:15" x14ac:dyDescent="0.25">
      <c r="K30" s="449">
        <v>39599</v>
      </c>
      <c r="L30" s="450">
        <v>7</v>
      </c>
      <c r="M30" s="450"/>
      <c r="N30" s="449">
        <v>39599</v>
      </c>
      <c r="O30" s="450">
        <v>7</v>
      </c>
    </row>
    <row r="31" spans="1:15" x14ac:dyDescent="0.25">
      <c r="K31" s="449">
        <v>39629</v>
      </c>
      <c r="L31" s="450">
        <v>7</v>
      </c>
      <c r="M31" s="450"/>
      <c r="N31" s="449">
        <v>39629</v>
      </c>
      <c r="O31" s="450">
        <v>7</v>
      </c>
    </row>
    <row r="32" spans="1:15" x14ac:dyDescent="0.25">
      <c r="K32" s="449">
        <v>39660</v>
      </c>
      <c r="L32" s="450">
        <v>6</v>
      </c>
      <c r="M32" s="450"/>
      <c r="N32" s="449">
        <v>39660</v>
      </c>
      <c r="O32" s="450">
        <v>6</v>
      </c>
    </row>
    <row r="33" spans="8:15" x14ac:dyDescent="0.25">
      <c r="K33" s="449">
        <v>39691</v>
      </c>
      <c r="L33" s="450">
        <v>5</v>
      </c>
      <c r="M33" s="450"/>
      <c r="N33" s="449">
        <v>39691</v>
      </c>
      <c r="O33" s="450">
        <v>5</v>
      </c>
    </row>
    <row r="34" spans="8:15" x14ac:dyDescent="0.25">
      <c r="K34" s="449">
        <v>39721</v>
      </c>
      <c r="L34" s="450">
        <v>4</v>
      </c>
      <c r="M34" s="450"/>
      <c r="N34" s="449">
        <v>39721</v>
      </c>
      <c r="O34" s="450">
        <v>4</v>
      </c>
    </row>
    <row r="35" spans="8:15" x14ac:dyDescent="0.25">
      <c r="K35" s="449">
        <v>39752</v>
      </c>
      <c r="L35" s="450">
        <v>4</v>
      </c>
      <c r="M35" s="450"/>
      <c r="N35" s="449">
        <v>39752</v>
      </c>
      <c r="O35" s="450">
        <v>4</v>
      </c>
    </row>
    <row r="36" spans="8:15" x14ac:dyDescent="0.25">
      <c r="K36" s="449">
        <v>39782</v>
      </c>
      <c r="L36" s="450">
        <v>3</v>
      </c>
      <c r="M36" s="450"/>
      <c r="N36" s="449">
        <v>39782</v>
      </c>
      <c r="O36" s="450">
        <v>3</v>
      </c>
    </row>
    <row r="37" spans="8:15" x14ac:dyDescent="0.25">
      <c r="K37" s="449">
        <v>39813</v>
      </c>
      <c r="L37" s="450">
        <v>4</v>
      </c>
      <c r="M37" s="450"/>
      <c r="N37" s="449">
        <v>39813</v>
      </c>
      <c r="O37" s="450">
        <v>4</v>
      </c>
    </row>
    <row r="38" spans="8:15" x14ac:dyDescent="0.25">
      <c r="K38" s="449">
        <v>39844</v>
      </c>
      <c r="L38" s="450">
        <v>3</v>
      </c>
      <c r="M38" s="450"/>
      <c r="N38" s="449">
        <v>39844</v>
      </c>
      <c r="O38" s="450">
        <v>3</v>
      </c>
    </row>
    <row r="39" spans="8:15" x14ac:dyDescent="0.25">
      <c r="K39" s="449">
        <v>39872</v>
      </c>
      <c r="L39" s="450">
        <v>2</v>
      </c>
      <c r="M39" s="450"/>
      <c r="N39" s="449">
        <v>39872</v>
      </c>
      <c r="O39" s="450">
        <v>2</v>
      </c>
    </row>
    <row r="40" spans="8:15" x14ac:dyDescent="0.25">
      <c r="K40" s="449">
        <v>39903</v>
      </c>
      <c r="L40" s="450">
        <v>2</v>
      </c>
      <c r="M40" s="450"/>
      <c r="N40" s="449">
        <v>39903</v>
      </c>
      <c r="O40" s="450">
        <v>2</v>
      </c>
    </row>
    <row r="41" spans="8:15" x14ac:dyDescent="0.25">
      <c r="K41" s="449">
        <v>39933</v>
      </c>
      <c r="L41" s="450">
        <v>1</v>
      </c>
      <c r="M41" s="450"/>
      <c r="N41" s="449">
        <v>39933</v>
      </c>
      <c r="O41" s="450">
        <v>1</v>
      </c>
    </row>
    <row r="42" spans="8:15" x14ac:dyDescent="0.25">
      <c r="K42" s="449">
        <v>39964</v>
      </c>
      <c r="L42" s="450">
        <v>7</v>
      </c>
      <c r="M42" s="450"/>
      <c r="N42" s="449">
        <v>39964</v>
      </c>
      <c r="O42" s="450">
        <v>7</v>
      </c>
    </row>
    <row r="43" spans="8:15" x14ac:dyDescent="0.25">
      <c r="K43" s="449">
        <v>39994</v>
      </c>
      <c r="L43" s="450">
        <v>6</v>
      </c>
      <c r="M43" s="450"/>
      <c r="N43" s="449">
        <v>39994</v>
      </c>
      <c r="O43" s="450">
        <v>6</v>
      </c>
    </row>
    <row r="44" spans="8:15" x14ac:dyDescent="0.25">
      <c r="H44" s="969" t="s">
        <v>514</v>
      </c>
      <c r="I44" s="969"/>
      <c r="K44" s="449">
        <v>40025</v>
      </c>
      <c r="L44" s="450">
        <v>5</v>
      </c>
      <c r="M44" s="450"/>
      <c r="N44" s="449">
        <v>40025</v>
      </c>
      <c r="O44" s="450">
        <v>5</v>
      </c>
    </row>
    <row r="45" spans="8:15" x14ac:dyDescent="0.25">
      <c r="K45" s="449">
        <v>40056</v>
      </c>
      <c r="L45" s="450">
        <v>4</v>
      </c>
      <c r="M45" s="450"/>
      <c r="N45" s="449">
        <v>40056</v>
      </c>
      <c r="O45" s="450">
        <v>4</v>
      </c>
    </row>
    <row r="46" spans="8:15" x14ac:dyDescent="0.25">
      <c r="K46" s="449">
        <v>40086</v>
      </c>
      <c r="L46" s="450">
        <v>4</v>
      </c>
      <c r="M46" s="450"/>
      <c r="N46" s="449">
        <v>40086</v>
      </c>
      <c r="O46" s="450">
        <v>4</v>
      </c>
    </row>
    <row r="47" spans="8:15" x14ac:dyDescent="0.25">
      <c r="K47" s="449">
        <v>40117</v>
      </c>
      <c r="L47" s="450">
        <v>3</v>
      </c>
      <c r="M47" s="450"/>
      <c r="N47" s="449">
        <v>40117</v>
      </c>
      <c r="O47" s="450">
        <v>3</v>
      </c>
    </row>
    <row r="48" spans="8:15" x14ac:dyDescent="0.25">
      <c r="K48" s="449">
        <v>40147</v>
      </c>
      <c r="L48" s="450">
        <v>3</v>
      </c>
      <c r="M48" s="450"/>
      <c r="N48" s="449">
        <v>40147</v>
      </c>
      <c r="O48" s="450">
        <v>3</v>
      </c>
    </row>
    <row r="49" spans="11:15" x14ac:dyDescent="0.25">
      <c r="K49" s="449">
        <v>40178</v>
      </c>
      <c r="L49" s="450">
        <v>2</v>
      </c>
      <c r="M49" s="450"/>
      <c r="N49" s="449">
        <v>40178</v>
      </c>
      <c r="O49" s="450">
        <v>2</v>
      </c>
    </row>
    <row r="50" spans="11:15" x14ac:dyDescent="0.25">
      <c r="K50" s="449">
        <v>40209</v>
      </c>
      <c r="L50" s="450">
        <v>1</v>
      </c>
      <c r="M50" s="450"/>
      <c r="N50" s="449">
        <v>40209</v>
      </c>
      <c r="O50" s="450">
        <v>1</v>
      </c>
    </row>
    <row r="51" spans="11:15" x14ac:dyDescent="0.25">
      <c r="K51" s="449">
        <v>40237</v>
      </c>
      <c r="L51" s="450">
        <v>1</v>
      </c>
      <c r="M51" s="450"/>
      <c r="N51" s="449">
        <v>40237</v>
      </c>
      <c r="O51" s="450">
        <v>1</v>
      </c>
    </row>
    <row r="52" spans="11:15" x14ac:dyDescent="0.25">
      <c r="K52" s="449">
        <v>40268</v>
      </c>
      <c r="L52" s="450">
        <v>1</v>
      </c>
      <c r="M52" s="450"/>
      <c r="N52" s="449">
        <v>40268</v>
      </c>
      <c r="O52" s="450">
        <v>1</v>
      </c>
    </row>
    <row r="53" spans="11:15" x14ac:dyDescent="0.25">
      <c r="K53" s="449">
        <v>40298</v>
      </c>
      <c r="L53" s="450">
        <v>2</v>
      </c>
      <c r="M53" s="450"/>
      <c r="N53" s="449">
        <v>40298</v>
      </c>
      <c r="O53" s="450">
        <v>2</v>
      </c>
    </row>
    <row r="54" spans="11:15" x14ac:dyDescent="0.25">
      <c r="K54" s="449">
        <v>40329</v>
      </c>
      <c r="L54" s="450">
        <v>2</v>
      </c>
      <c r="M54" s="450"/>
      <c r="N54" s="449">
        <v>40329</v>
      </c>
      <c r="O54" s="450">
        <v>2</v>
      </c>
    </row>
    <row r="55" spans="11:15" x14ac:dyDescent="0.25">
      <c r="K55" s="449">
        <v>40359</v>
      </c>
      <c r="L55" s="450">
        <v>1</v>
      </c>
      <c r="M55" s="450"/>
      <c r="N55" s="449">
        <v>40359</v>
      </c>
      <c r="O55" s="450">
        <v>1</v>
      </c>
    </row>
    <row r="56" spans="11:15" x14ac:dyDescent="0.25">
      <c r="K56" s="449">
        <v>40390</v>
      </c>
      <c r="L56" s="450">
        <v>1</v>
      </c>
      <c r="M56" s="450"/>
      <c r="N56" s="449">
        <v>40390</v>
      </c>
      <c r="O56" s="450">
        <v>1</v>
      </c>
    </row>
    <row r="57" spans="11:15" x14ac:dyDescent="0.25">
      <c r="K57" s="449">
        <v>40421</v>
      </c>
      <c r="L57" s="450">
        <v>4</v>
      </c>
      <c r="M57" s="450"/>
      <c r="N57" s="449">
        <v>40421</v>
      </c>
      <c r="O57" s="450">
        <v>4</v>
      </c>
    </row>
    <row r="58" spans="11:15" x14ac:dyDescent="0.25">
      <c r="K58" s="449">
        <v>40451</v>
      </c>
      <c r="L58" s="450">
        <v>3</v>
      </c>
      <c r="M58" s="450"/>
      <c r="N58" s="449">
        <v>40451</v>
      </c>
      <c r="O58" s="450">
        <v>3</v>
      </c>
    </row>
    <row r="59" spans="11:15" x14ac:dyDescent="0.25">
      <c r="K59" s="449">
        <v>40482</v>
      </c>
      <c r="L59" s="450">
        <v>4</v>
      </c>
      <c r="M59" s="450"/>
      <c r="N59" s="449">
        <v>40482</v>
      </c>
      <c r="O59" s="450">
        <v>4</v>
      </c>
    </row>
    <row r="60" spans="11:15" x14ac:dyDescent="0.25">
      <c r="K60" s="449">
        <v>40512</v>
      </c>
      <c r="L60" s="450">
        <v>3</v>
      </c>
      <c r="M60" s="450"/>
      <c r="N60" s="449">
        <v>40512</v>
      </c>
      <c r="O60" s="450">
        <v>3</v>
      </c>
    </row>
    <row r="61" spans="11:15" x14ac:dyDescent="0.25">
      <c r="K61" s="449">
        <v>40543</v>
      </c>
      <c r="L61" s="450">
        <v>1</v>
      </c>
      <c r="M61" s="450"/>
      <c r="N61" s="449">
        <v>40543</v>
      </c>
      <c r="O61" s="450">
        <v>1</v>
      </c>
    </row>
    <row r="62" spans="11:15" x14ac:dyDescent="0.25">
      <c r="K62" s="449">
        <v>40574</v>
      </c>
      <c r="L62" s="450">
        <v>3</v>
      </c>
      <c r="M62" s="450"/>
      <c r="N62" s="449">
        <v>40574</v>
      </c>
      <c r="O62" s="450">
        <v>3</v>
      </c>
    </row>
    <row r="63" spans="11:15" x14ac:dyDescent="0.25">
      <c r="K63" s="449">
        <v>40602</v>
      </c>
      <c r="L63" s="450">
        <v>2</v>
      </c>
      <c r="M63" s="450"/>
      <c r="N63" s="449">
        <v>40602</v>
      </c>
      <c r="O63" s="450">
        <v>2</v>
      </c>
    </row>
    <row r="64" spans="11:15" x14ac:dyDescent="0.25">
      <c r="K64" s="449">
        <v>40633</v>
      </c>
      <c r="L64" s="450">
        <v>2</v>
      </c>
      <c r="M64" s="450"/>
      <c r="N64" s="449">
        <v>40633</v>
      </c>
      <c r="O64" s="450">
        <v>2</v>
      </c>
    </row>
    <row r="65" spans="11:15" x14ac:dyDescent="0.25">
      <c r="K65" s="449">
        <v>40663</v>
      </c>
      <c r="L65" s="450">
        <v>3</v>
      </c>
      <c r="M65" s="450"/>
      <c r="N65" s="449">
        <v>40663</v>
      </c>
      <c r="O65" s="450">
        <v>3</v>
      </c>
    </row>
    <row r="66" spans="11:15" x14ac:dyDescent="0.25">
      <c r="K66" s="449">
        <v>40694</v>
      </c>
      <c r="L66" s="450">
        <v>4</v>
      </c>
      <c r="M66" s="450"/>
      <c r="N66" s="449">
        <v>40694</v>
      </c>
      <c r="O66" s="450">
        <v>4</v>
      </c>
    </row>
    <row r="67" spans="11:15" x14ac:dyDescent="0.25">
      <c r="K67" s="449">
        <v>40724</v>
      </c>
      <c r="L67" s="450">
        <v>5</v>
      </c>
      <c r="M67" s="450"/>
      <c r="N67" s="449">
        <v>40724</v>
      </c>
      <c r="O67" s="450">
        <v>5</v>
      </c>
    </row>
    <row r="68" spans="11:15" x14ac:dyDescent="0.25">
      <c r="K68" s="449">
        <v>40755</v>
      </c>
      <c r="L68" s="450">
        <v>5</v>
      </c>
      <c r="M68" s="450"/>
      <c r="N68" s="449">
        <v>40755</v>
      </c>
      <c r="O68" s="450">
        <v>5</v>
      </c>
    </row>
    <row r="69" spans="11:15" x14ac:dyDescent="0.25">
      <c r="K69" s="451">
        <v>40786</v>
      </c>
      <c r="L69" s="450">
        <v>4</v>
      </c>
      <c r="M69" s="450"/>
      <c r="N69" s="451">
        <v>40786</v>
      </c>
      <c r="O69" s="450">
        <v>4</v>
      </c>
    </row>
    <row r="70" spans="11:15" x14ac:dyDescent="0.25">
      <c r="K70" s="449">
        <v>40816</v>
      </c>
      <c r="L70" s="450">
        <v>4</v>
      </c>
      <c r="M70" s="450"/>
      <c r="N70" s="449">
        <v>40816</v>
      </c>
      <c r="O70" s="450">
        <v>4</v>
      </c>
    </row>
    <row r="71" spans="11:15" x14ac:dyDescent="0.25">
      <c r="K71" s="449">
        <v>40847</v>
      </c>
      <c r="L71" s="450">
        <v>3</v>
      </c>
      <c r="M71" s="450"/>
      <c r="N71" s="449">
        <v>40847</v>
      </c>
      <c r="O71" s="450">
        <v>3</v>
      </c>
    </row>
    <row r="72" spans="11:15" x14ac:dyDescent="0.25">
      <c r="K72" s="449">
        <v>40877</v>
      </c>
      <c r="L72" s="450">
        <v>2</v>
      </c>
      <c r="M72" s="450"/>
      <c r="N72" s="449">
        <v>40877</v>
      </c>
      <c r="O72" s="450">
        <v>2</v>
      </c>
    </row>
    <row r="73" spans="11:15" x14ac:dyDescent="0.25">
      <c r="K73" s="449">
        <v>40908</v>
      </c>
      <c r="L73" s="450">
        <v>1</v>
      </c>
      <c r="M73" s="450"/>
      <c r="N73" s="449">
        <v>40908</v>
      </c>
      <c r="O73" s="450">
        <v>1</v>
      </c>
    </row>
    <row r="74" spans="11:15" x14ac:dyDescent="0.25">
      <c r="K74" s="449">
        <v>40939</v>
      </c>
      <c r="L74" s="450">
        <v>2</v>
      </c>
      <c r="M74" s="450"/>
      <c r="N74" s="449">
        <v>40939</v>
      </c>
      <c r="O74" s="450">
        <v>2</v>
      </c>
    </row>
    <row r="75" spans="11:15" x14ac:dyDescent="0.25">
      <c r="K75" s="449">
        <v>40968</v>
      </c>
      <c r="L75" s="450">
        <v>3</v>
      </c>
      <c r="M75" s="450"/>
      <c r="N75" s="449">
        <v>40968</v>
      </c>
      <c r="O75" s="450">
        <v>3</v>
      </c>
    </row>
    <row r="76" spans="11:15" x14ac:dyDescent="0.25">
      <c r="K76" s="449">
        <v>40999</v>
      </c>
      <c r="L76" s="450">
        <v>2</v>
      </c>
      <c r="M76" s="450"/>
      <c r="N76" s="449">
        <v>40999</v>
      </c>
      <c r="O76" s="450">
        <v>2</v>
      </c>
    </row>
    <row r="77" spans="11:15" x14ac:dyDescent="0.25">
      <c r="K77" s="449">
        <v>41029</v>
      </c>
      <c r="L77" s="450">
        <v>3</v>
      </c>
      <c r="M77" s="450"/>
      <c r="N77" s="449">
        <v>41029</v>
      </c>
      <c r="O77" s="450">
        <v>3</v>
      </c>
    </row>
    <row r="78" spans="11:15" x14ac:dyDescent="0.25">
      <c r="K78" s="449">
        <v>41060</v>
      </c>
      <c r="L78" s="450">
        <v>9</v>
      </c>
      <c r="M78" s="450"/>
      <c r="N78" s="449">
        <v>41060</v>
      </c>
      <c r="O78" s="450">
        <v>9</v>
      </c>
    </row>
    <row r="79" spans="11:15" x14ac:dyDescent="0.25">
      <c r="K79" s="449">
        <v>41090</v>
      </c>
      <c r="L79" s="450">
        <v>7</v>
      </c>
      <c r="M79" s="450"/>
      <c r="N79" s="449">
        <v>41090</v>
      </c>
      <c r="O79" s="450">
        <v>7</v>
      </c>
    </row>
    <row r="80" spans="11:15" x14ac:dyDescent="0.25">
      <c r="K80" s="449">
        <v>41121</v>
      </c>
      <c r="L80" s="450">
        <v>7</v>
      </c>
      <c r="M80" s="450"/>
      <c r="N80" s="449">
        <v>41121</v>
      </c>
      <c r="O80" s="450">
        <v>7</v>
      </c>
    </row>
    <row r="81" spans="11:15" x14ac:dyDescent="0.25">
      <c r="K81" s="449">
        <v>41152</v>
      </c>
      <c r="L81" s="450">
        <v>7</v>
      </c>
      <c r="M81" s="450"/>
      <c r="N81" s="449">
        <v>41152</v>
      </c>
      <c r="O81" s="450">
        <v>7</v>
      </c>
    </row>
    <row r="82" spans="11:15" x14ac:dyDescent="0.25">
      <c r="K82" s="449">
        <v>41182</v>
      </c>
      <c r="L82" s="450">
        <v>6</v>
      </c>
      <c r="M82" s="450"/>
      <c r="N82" s="449">
        <v>41182</v>
      </c>
      <c r="O82" s="450">
        <v>6</v>
      </c>
    </row>
    <row r="83" spans="11:15" x14ac:dyDescent="0.25">
      <c r="K83" s="449">
        <v>41213</v>
      </c>
      <c r="L83" s="450">
        <v>5</v>
      </c>
      <c r="M83" s="450"/>
      <c r="N83" s="449">
        <v>41213</v>
      </c>
      <c r="O83" s="450">
        <v>5</v>
      </c>
    </row>
    <row r="84" spans="11:15" x14ac:dyDescent="0.25">
      <c r="K84" s="449">
        <v>41243</v>
      </c>
      <c r="L84" s="450">
        <v>4</v>
      </c>
      <c r="M84" s="450"/>
      <c r="N84" s="449">
        <v>41243</v>
      </c>
      <c r="O84" s="450">
        <v>4</v>
      </c>
    </row>
    <row r="85" spans="11:15" x14ac:dyDescent="0.25">
      <c r="K85" s="449">
        <v>41274</v>
      </c>
      <c r="L85" s="450">
        <v>3</v>
      </c>
      <c r="M85" s="450"/>
      <c r="N85" s="449">
        <v>41274</v>
      </c>
      <c r="O85" s="450">
        <v>3</v>
      </c>
    </row>
    <row r="86" spans="11:15" x14ac:dyDescent="0.25">
      <c r="K86" s="449">
        <v>41305</v>
      </c>
      <c r="L86" s="450">
        <v>3</v>
      </c>
      <c r="M86" s="450"/>
      <c r="N86" s="449">
        <v>41305</v>
      </c>
      <c r="O86" s="450">
        <v>3</v>
      </c>
    </row>
    <row r="87" spans="11:15" x14ac:dyDescent="0.25">
      <c r="K87" s="449">
        <v>41333</v>
      </c>
      <c r="L87" s="450">
        <v>9</v>
      </c>
      <c r="M87" s="450"/>
      <c r="N87" s="449">
        <v>41333</v>
      </c>
      <c r="O87" s="450">
        <v>9</v>
      </c>
    </row>
    <row r="88" spans="11:15" x14ac:dyDescent="0.25">
      <c r="K88" s="449">
        <v>41364</v>
      </c>
      <c r="L88" s="450">
        <v>10</v>
      </c>
      <c r="M88" s="450"/>
      <c r="N88" s="449">
        <v>41364</v>
      </c>
      <c r="O88" s="450">
        <v>10</v>
      </c>
    </row>
    <row r="89" spans="11:15" x14ac:dyDescent="0.25">
      <c r="K89" s="449">
        <v>41394</v>
      </c>
      <c r="L89" s="450">
        <v>9</v>
      </c>
      <c r="M89" s="450"/>
      <c r="N89" s="449">
        <v>41394</v>
      </c>
      <c r="O89" s="450">
        <v>9</v>
      </c>
    </row>
    <row r="90" spans="11:15" x14ac:dyDescent="0.25">
      <c r="K90" s="449">
        <v>41425</v>
      </c>
      <c r="L90" s="450">
        <v>10</v>
      </c>
      <c r="M90" s="450"/>
      <c r="N90" s="449">
        <v>41425</v>
      </c>
      <c r="O90" s="450">
        <v>10</v>
      </c>
    </row>
    <row r="91" spans="11:15" x14ac:dyDescent="0.25">
      <c r="K91" s="449">
        <v>41455</v>
      </c>
      <c r="L91" s="450">
        <v>9</v>
      </c>
      <c r="M91" s="450"/>
      <c r="N91" s="449">
        <v>41455</v>
      </c>
      <c r="O91" s="450">
        <v>9</v>
      </c>
    </row>
    <row r="92" spans="11:15" x14ac:dyDescent="0.25">
      <c r="K92" s="449">
        <v>41486</v>
      </c>
      <c r="L92" s="450">
        <v>8</v>
      </c>
      <c r="M92" s="450"/>
      <c r="N92" s="449">
        <v>41486</v>
      </c>
      <c r="O92" s="450">
        <v>8</v>
      </c>
    </row>
    <row r="93" spans="11:15" x14ac:dyDescent="0.25">
      <c r="K93" s="449">
        <v>41517</v>
      </c>
      <c r="L93" s="450">
        <v>7</v>
      </c>
      <c r="M93" s="450"/>
      <c r="N93" s="449">
        <v>41517</v>
      </c>
      <c r="O93" s="450">
        <v>7</v>
      </c>
    </row>
    <row r="94" spans="11:15" x14ac:dyDescent="0.25">
      <c r="K94" s="449">
        <v>41547</v>
      </c>
      <c r="L94" s="450">
        <v>6</v>
      </c>
      <c r="M94" s="450"/>
      <c r="N94" s="449">
        <v>41547</v>
      </c>
      <c r="O94" s="450">
        <v>6</v>
      </c>
    </row>
    <row r="95" spans="11:15" x14ac:dyDescent="0.25">
      <c r="K95" s="449">
        <v>41578</v>
      </c>
      <c r="L95" s="450">
        <v>6</v>
      </c>
      <c r="M95" s="450"/>
      <c r="N95" s="449">
        <v>41578</v>
      </c>
      <c r="O95" s="450">
        <v>6</v>
      </c>
    </row>
    <row r="96" spans="11:15" x14ac:dyDescent="0.25">
      <c r="K96" s="449">
        <v>41608</v>
      </c>
      <c r="L96" s="450">
        <v>6</v>
      </c>
      <c r="M96" s="450"/>
      <c r="N96" s="449">
        <v>41608</v>
      </c>
      <c r="O96" s="450">
        <v>6</v>
      </c>
    </row>
    <row r="97" spans="11:15" x14ac:dyDescent="0.25">
      <c r="K97" s="449">
        <v>41639</v>
      </c>
      <c r="L97" s="450">
        <v>4</v>
      </c>
      <c r="M97" s="450"/>
      <c r="N97" s="449">
        <v>41639</v>
      </c>
      <c r="O97" s="450">
        <v>4</v>
      </c>
    </row>
    <row r="98" spans="11:15" x14ac:dyDescent="0.25">
      <c r="K98" s="449">
        <v>41670</v>
      </c>
      <c r="L98" s="450">
        <v>9</v>
      </c>
      <c r="M98" s="450"/>
      <c r="N98" s="449">
        <v>41670</v>
      </c>
      <c r="O98" s="450">
        <v>9</v>
      </c>
    </row>
    <row r="99" spans="11:15" x14ac:dyDescent="0.25">
      <c r="K99" s="449">
        <v>41698</v>
      </c>
      <c r="L99" s="450">
        <v>10</v>
      </c>
      <c r="M99" s="450"/>
      <c r="N99" s="449">
        <v>41698</v>
      </c>
      <c r="O99" s="450">
        <v>10</v>
      </c>
    </row>
    <row r="100" spans="11:15" x14ac:dyDescent="0.25">
      <c r="K100" s="449">
        <v>41729</v>
      </c>
      <c r="L100" s="450">
        <v>9</v>
      </c>
      <c r="M100" s="450"/>
      <c r="N100" s="449">
        <v>41729</v>
      </c>
      <c r="O100" s="450">
        <v>9</v>
      </c>
    </row>
    <row r="101" spans="11:15" x14ac:dyDescent="0.25">
      <c r="K101" s="449">
        <v>41759</v>
      </c>
      <c r="L101" s="450">
        <v>10</v>
      </c>
      <c r="M101" s="450"/>
      <c r="N101" s="449">
        <v>41759</v>
      </c>
      <c r="O101" s="450">
        <v>10</v>
      </c>
    </row>
    <row r="102" spans="11:15" x14ac:dyDescent="0.25">
      <c r="K102" s="449">
        <v>41790</v>
      </c>
      <c r="L102" s="450">
        <v>8</v>
      </c>
      <c r="M102" s="450"/>
      <c r="N102" s="449">
        <v>41790</v>
      </c>
      <c r="O102" s="450">
        <v>8</v>
      </c>
    </row>
    <row r="103" spans="11:15" x14ac:dyDescent="0.25">
      <c r="K103" s="449">
        <v>41820</v>
      </c>
      <c r="L103" s="450">
        <v>7</v>
      </c>
      <c r="M103" s="450"/>
      <c r="N103" s="449">
        <v>41820</v>
      </c>
      <c r="O103" s="450">
        <v>7</v>
      </c>
    </row>
    <row r="104" spans="11:15" x14ac:dyDescent="0.25">
      <c r="K104" s="449">
        <v>41851</v>
      </c>
      <c r="L104" s="450">
        <v>6</v>
      </c>
      <c r="M104" s="450"/>
      <c r="N104" s="449">
        <v>41851</v>
      </c>
      <c r="O104" s="450">
        <v>6</v>
      </c>
    </row>
    <row r="105" spans="11:15" x14ac:dyDescent="0.25">
      <c r="K105" s="449">
        <v>41882</v>
      </c>
      <c r="L105" s="450">
        <v>5</v>
      </c>
      <c r="M105" s="450"/>
      <c r="N105" s="449">
        <v>41882</v>
      </c>
      <c r="O105" s="450">
        <v>5</v>
      </c>
    </row>
    <row r="106" spans="11:15" x14ac:dyDescent="0.25">
      <c r="K106" s="449">
        <v>41912</v>
      </c>
      <c r="L106" s="450">
        <v>7</v>
      </c>
      <c r="M106" s="450"/>
      <c r="N106" s="449">
        <v>41912</v>
      </c>
      <c r="O106" s="450">
        <v>7</v>
      </c>
    </row>
    <row r="107" spans="11:15" x14ac:dyDescent="0.25">
      <c r="K107" s="449">
        <v>41943</v>
      </c>
      <c r="L107" s="450">
        <v>4</v>
      </c>
      <c r="M107" s="450"/>
      <c r="N107" s="449">
        <v>41943</v>
      </c>
      <c r="O107" s="450">
        <v>4</v>
      </c>
    </row>
    <row r="108" spans="11:15" x14ac:dyDescent="0.25">
      <c r="K108" s="449">
        <v>41973</v>
      </c>
      <c r="L108" s="450">
        <v>6</v>
      </c>
      <c r="M108" s="450"/>
      <c r="N108" s="449">
        <v>41973</v>
      </c>
      <c r="O108" s="450">
        <v>6</v>
      </c>
    </row>
    <row r="109" spans="11:15" x14ac:dyDescent="0.25">
      <c r="K109" s="449">
        <v>42004</v>
      </c>
      <c r="L109" s="450">
        <v>1</v>
      </c>
      <c r="M109" s="450"/>
      <c r="N109" s="449">
        <v>42004</v>
      </c>
      <c r="O109" s="450">
        <v>1</v>
      </c>
    </row>
    <row r="110" spans="11:15" x14ac:dyDescent="0.25">
      <c r="K110" s="449">
        <v>42035</v>
      </c>
      <c r="L110" s="450">
        <v>1</v>
      </c>
      <c r="M110" s="450"/>
      <c r="N110" s="449">
        <v>42035</v>
      </c>
      <c r="O110" s="450">
        <v>1</v>
      </c>
    </row>
    <row r="111" spans="11:15" x14ac:dyDescent="0.25">
      <c r="K111" s="449">
        <v>42063</v>
      </c>
      <c r="L111" s="450">
        <v>8</v>
      </c>
      <c r="M111" s="450"/>
      <c r="N111" s="449">
        <v>42063</v>
      </c>
      <c r="O111" s="450">
        <v>8</v>
      </c>
    </row>
    <row r="112" spans="11:15" x14ac:dyDescent="0.25">
      <c r="K112" s="449">
        <v>42094</v>
      </c>
      <c r="L112" s="450">
        <v>7</v>
      </c>
      <c r="M112" s="450"/>
      <c r="N112" s="449">
        <v>42094</v>
      </c>
      <c r="O112" s="450">
        <v>7</v>
      </c>
    </row>
    <row r="113" spans="11:15" x14ac:dyDescent="0.25">
      <c r="K113" s="449">
        <v>42124</v>
      </c>
      <c r="L113" s="450">
        <v>7</v>
      </c>
      <c r="M113" s="450"/>
      <c r="N113" s="449">
        <v>42124</v>
      </c>
      <c r="O113" s="450">
        <v>7</v>
      </c>
    </row>
    <row r="114" spans="11:15" x14ac:dyDescent="0.25">
      <c r="K114" s="449">
        <v>42155</v>
      </c>
      <c r="L114" s="450">
        <v>6</v>
      </c>
      <c r="M114" s="450"/>
      <c r="N114" s="449">
        <v>42155</v>
      </c>
      <c r="O114" s="450">
        <v>6</v>
      </c>
    </row>
    <row r="115" spans="11:15" x14ac:dyDescent="0.25">
      <c r="K115" s="449">
        <v>42185</v>
      </c>
      <c r="L115" s="450">
        <v>8</v>
      </c>
      <c r="M115" s="450"/>
      <c r="N115" s="449">
        <v>42185</v>
      </c>
      <c r="O115" s="450">
        <v>8</v>
      </c>
    </row>
    <row r="116" spans="11:15" x14ac:dyDescent="0.25">
      <c r="K116" s="449">
        <v>42216</v>
      </c>
      <c r="L116" s="450">
        <v>7</v>
      </c>
      <c r="M116" s="450"/>
      <c r="N116" s="449">
        <v>42216</v>
      </c>
      <c r="O116" s="450">
        <v>7</v>
      </c>
    </row>
    <row r="117" spans="11:15" x14ac:dyDescent="0.25">
      <c r="K117" s="449">
        <v>42247</v>
      </c>
      <c r="L117" s="450">
        <v>6</v>
      </c>
      <c r="M117" s="450"/>
      <c r="N117" s="449">
        <v>42247</v>
      </c>
      <c r="O117" s="450">
        <v>6</v>
      </c>
    </row>
    <row r="118" spans="11:15" x14ac:dyDescent="0.25">
      <c r="K118" s="449">
        <v>42277</v>
      </c>
      <c r="L118" s="450">
        <v>5</v>
      </c>
      <c r="M118" s="450"/>
      <c r="N118" s="449">
        <v>42277</v>
      </c>
      <c r="O118" s="450">
        <v>5</v>
      </c>
    </row>
    <row r="119" spans="11:15" x14ac:dyDescent="0.25">
      <c r="K119" s="449">
        <v>42308</v>
      </c>
      <c r="L119" s="450">
        <v>4</v>
      </c>
      <c r="M119" s="450"/>
      <c r="N119" s="449">
        <v>42308</v>
      </c>
      <c r="O119" s="450">
        <v>4</v>
      </c>
    </row>
    <row r="120" spans="11:15" x14ac:dyDescent="0.25">
      <c r="K120" s="449">
        <v>42338</v>
      </c>
      <c r="L120" s="450">
        <v>5</v>
      </c>
      <c r="M120" s="450"/>
      <c r="N120" s="449">
        <v>42338</v>
      </c>
      <c r="O120" s="450">
        <v>5</v>
      </c>
    </row>
    <row r="121" spans="11:15" x14ac:dyDescent="0.25">
      <c r="K121" s="449">
        <v>42369</v>
      </c>
      <c r="L121" s="450">
        <v>2</v>
      </c>
      <c r="M121" s="450"/>
      <c r="N121" s="449">
        <v>42369</v>
      </c>
      <c r="O121" s="450">
        <v>2</v>
      </c>
    </row>
    <row r="122" spans="11:15" x14ac:dyDescent="0.25">
      <c r="K122" s="449">
        <v>42400</v>
      </c>
      <c r="L122" s="450">
        <v>3</v>
      </c>
      <c r="M122" s="450"/>
      <c r="N122" s="449">
        <v>42400</v>
      </c>
      <c r="O122" s="450">
        <v>3</v>
      </c>
    </row>
    <row r="123" spans="11:15" x14ac:dyDescent="0.25">
      <c r="K123" s="449">
        <v>42429</v>
      </c>
      <c r="L123" s="450">
        <v>4</v>
      </c>
      <c r="M123" s="450"/>
      <c r="N123" s="449">
        <v>42429</v>
      </c>
      <c r="O123" s="450">
        <v>4</v>
      </c>
    </row>
    <row r="124" spans="11:15" x14ac:dyDescent="0.25">
      <c r="K124" s="451">
        <v>42460</v>
      </c>
      <c r="L124" s="452">
        <v>4</v>
      </c>
      <c r="M124" s="452"/>
      <c r="N124" s="451">
        <v>42460</v>
      </c>
      <c r="O124" s="452">
        <v>4</v>
      </c>
    </row>
    <row r="125" spans="11:15" x14ac:dyDescent="0.25">
      <c r="K125" s="449">
        <v>42490</v>
      </c>
      <c r="L125" s="450">
        <v>6</v>
      </c>
      <c r="M125" s="450"/>
      <c r="N125" s="449">
        <v>42490</v>
      </c>
      <c r="O125" s="450">
        <v>6</v>
      </c>
    </row>
    <row r="126" spans="11:15" x14ac:dyDescent="0.25">
      <c r="K126" s="449">
        <v>42521</v>
      </c>
      <c r="L126" s="450">
        <v>6</v>
      </c>
      <c r="M126" s="450"/>
      <c r="N126" s="449">
        <v>42521</v>
      </c>
      <c r="O126" s="450">
        <v>6</v>
      </c>
    </row>
    <row r="127" spans="11:15" x14ac:dyDescent="0.25">
      <c r="K127" s="449">
        <v>42551</v>
      </c>
      <c r="L127" s="450">
        <v>7</v>
      </c>
      <c r="M127" s="450"/>
      <c r="N127" s="449">
        <v>42551</v>
      </c>
      <c r="O127" s="450">
        <v>7</v>
      </c>
    </row>
    <row r="128" spans="11:15" x14ac:dyDescent="0.25">
      <c r="K128" s="449">
        <v>42582</v>
      </c>
      <c r="L128" s="450">
        <v>6</v>
      </c>
      <c r="M128" s="450"/>
      <c r="N128" s="449">
        <v>42582</v>
      </c>
      <c r="O128" s="450">
        <v>6</v>
      </c>
    </row>
    <row r="129" spans="11:15" x14ac:dyDescent="0.25">
      <c r="K129" s="453">
        <v>42613</v>
      </c>
      <c r="L129" s="454">
        <v>5</v>
      </c>
      <c r="M129" s="454"/>
      <c r="N129" s="453">
        <v>42613</v>
      </c>
      <c r="O129" s="454">
        <v>5</v>
      </c>
    </row>
    <row r="130" spans="11:15" x14ac:dyDescent="0.25">
      <c r="K130" s="449">
        <v>42643</v>
      </c>
      <c r="L130" s="450">
        <v>3</v>
      </c>
      <c r="M130" s="450"/>
      <c r="N130" s="449">
        <v>42643</v>
      </c>
      <c r="O130" s="450">
        <v>3</v>
      </c>
    </row>
    <row r="131" spans="11:15" x14ac:dyDescent="0.25">
      <c r="K131" s="449">
        <v>42674</v>
      </c>
      <c r="L131" s="450">
        <v>2</v>
      </c>
      <c r="M131" s="450"/>
      <c r="N131" s="449">
        <v>42674</v>
      </c>
      <c r="O131" s="450">
        <v>2</v>
      </c>
    </row>
    <row r="132" spans="11:15" x14ac:dyDescent="0.25">
      <c r="K132" s="449">
        <v>42704</v>
      </c>
      <c r="L132" s="450">
        <v>2</v>
      </c>
      <c r="M132" s="450"/>
      <c r="N132" s="449">
        <v>42704</v>
      </c>
      <c r="O132" s="450">
        <v>2</v>
      </c>
    </row>
    <row r="133" spans="11:15" x14ac:dyDescent="0.25">
      <c r="K133" s="449">
        <v>42735</v>
      </c>
      <c r="L133" s="450">
        <v>1</v>
      </c>
      <c r="M133" s="450"/>
      <c r="N133" s="449">
        <v>42735</v>
      </c>
      <c r="O133" s="450">
        <v>1</v>
      </c>
    </row>
    <row r="134" spans="11:15" x14ac:dyDescent="0.25">
      <c r="K134" s="449">
        <v>42766</v>
      </c>
      <c r="L134" s="450">
        <v>2</v>
      </c>
      <c r="M134" s="450"/>
      <c r="N134" s="449">
        <v>42766</v>
      </c>
      <c r="O134" s="450">
        <v>2</v>
      </c>
    </row>
    <row r="135" spans="11:15" x14ac:dyDescent="0.25">
      <c r="K135" s="449">
        <v>42794</v>
      </c>
      <c r="L135" s="450">
        <v>3</v>
      </c>
      <c r="M135" s="450"/>
      <c r="N135" s="449">
        <v>42794</v>
      </c>
      <c r="O135" s="450">
        <v>3</v>
      </c>
    </row>
    <row r="136" spans="11:15" x14ac:dyDescent="0.25">
      <c r="K136" s="449">
        <v>42825</v>
      </c>
      <c r="L136" s="450">
        <v>8</v>
      </c>
      <c r="M136" s="450"/>
      <c r="N136" s="449">
        <v>42825</v>
      </c>
      <c r="O136" s="450">
        <v>8</v>
      </c>
    </row>
    <row r="137" spans="11:15" x14ac:dyDescent="0.25">
      <c r="K137" s="449">
        <v>42855</v>
      </c>
      <c r="L137" s="450">
        <v>6</v>
      </c>
      <c r="M137" s="450"/>
      <c r="N137" s="449">
        <v>42855</v>
      </c>
      <c r="O137" s="450">
        <v>6</v>
      </c>
    </row>
    <row r="138" spans="11:15" x14ac:dyDescent="0.25">
      <c r="K138" s="449">
        <v>42886</v>
      </c>
      <c r="L138" s="450">
        <v>6</v>
      </c>
      <c r="M138" s="450"/>
      <c r="N138" s="449">
        <v>42886</v>
      </c>
      <c r="O138" s="450">
        <v>6</v>
      </c>
    </row>
    <row r="139" spans="11:15" x14ac:dyDescent="0.25">
      <c r="K139" s="449">
        <v>42916</v>
      </c>
      <c r="L139" s="450">
        <v>5</v>
      </c>
      <c r="M139" s="450"/>
      <c r="N139" s="449">
        <v>42916</v>
      </c>
      <c r="O139" s="450">
        <v>5</v>
      </c>
    </row>
    <row r="140" spans="11:15" x14ac:dyDescent="0.25">
      <c r="K140" s="449">
        <v>42947</v>
      </c>
      <c r="L140" s="450">
        <v>6</v>
      </c>
      <c r="M140" s="450"/>
      <c r="N140" s="449">
        <v>42947</v>
      </c>
      <c r="O140" s="450">
        <v>6</v>
      </c>
    </row>
    <row r="141" spans="11:15" x14ac:dyDescent="0.25">
      <c r="K141" s="449">
        <v>42978</v>
      </c>
      <c r="L141" s="450">
        <v>5</v>
      </c>
      <c r="M141" s="450"/>
      <c r="N141" s="449">
        <v>42978</v>
      </c>
      <c r="O141" s="450">
        <v>5</v>
      </c>
    </row>
    <row r="142" spans="11:15" x14ac:dyDescent="0.25">
      <c r="K142" s="449">
        <v>43008</v>
      </c>
      <c r="L142" s="450">
        <v>6</v>
      </c>
      <c r="M142" s="450"/>
      <c r="N142" s="449">
        <v>43008</v>
      </c>
      <c r="O142" s="450">
        <v>6</v>
      </c>
    </row>
    <row r="143" spans="11:15" x14ac:dyDescent="0.25">
      <c r="K143" s="449">
        <v>43039</v>
      </c>
      <c r="L143" s="450">
        <v>7</v>
      </c>
      <c r="M143" s="450"/>
      <c r="N143" s="449">
        <v>43039</v>
      </c>
      <c r="O143" s="450">
        <v>7</v>
      </c>
    </row>
    <row r="144" spans="11:15" x14ac:dyDescent="0.25">
      <c r="K144" s="449">
        <v>43069</v>
      </c>
      <c r="L144" s="450">
        <v>12</v>
      </c>
      <c r="M144" s="450"/>
      <c r="N144" s="449">
        <v>43069</v>
      </c>
      <c r="O144" s="450">
        <v>12</v>
      </c>
    </row>
    <row r="145" spans="11:15" x14ac:dyDescent="0.25">
      <c r="K145" s="449">
        <v>43100</v>
      </c>
      <c r="L145" s="450">
        <v>11</v>
      </c>
      <c r="M145" s="450"/>
      <c r="N145" s="449">
        <v>43100</v>
      </c>
      <c r="O145" s="450">
        <v>11</v>
      </c>
    </row>
    <row r="146" spans="11:15" x14ac:dyDescent="0.25">
      <c r="K146" s="449">
        <v>43131</v>
      </c>
      <c r="L146" s="450">
        <v>9</v>
      </c>
      <c r="M146" s="450"/>
      <c r="N146" s="449">
        <v>43131</v>
      </c>
      <c r="O146" s="450">
        <v>9</v>
      </c>
    </row>
    <row r="147" spans="11:15" x14ac:dyDescent="0.25">
      <c r="K147" s="449">
        <v>43159</v>
      </c>
      <c r="L147" s="450">
        <v>9</v>
      </c>
      <c r="M147" s="450"/>
      <c r="N147" s="449">
        <v>43159</v>
      </c>
      <c r="O147" s="450">
        <v>9</v>
      </c>
    </row>
    <row r="148" spans="11:15" x14ac:dyDescent="0.25">
      <c r="K148" s="449">
        <v>43190</v>
      </c>
      <c r="L148" s="450">
        <v>7</v>
      </c>
      <c r="M148" s="450"/>
      <c r="N148" s="449">
        <v>43190</v>
      </c>
      <c r="O148" s="450">
        <v>7</v>
      </c>
    </row>
    <row r="149" spans="11:15" x14ac:dyDescent="0.25">
      <c r="K149" s="449">
        <v>43220</v>
      </c>
      <c r="L149" s="450">
        <v>6</v>
      </c>
      <c r="M149" s="450"/>
      <c r="N149" s="449">
        <v>43220</v>
      </c>
      <c r="O149" s="450">
        <v>6</v>
      </c>
    </row>
    <row r="150" spans="11:15" x14ac:dyDescent="0.25">
      <c r="K150" s="449">
        <v>43251</v>
      </c>
      <c r="L150" s="450">
        <v>5</v>
      </c>
      <c r="M150" s="450"/>
      <c r="N150" s="449">
        <v>43251</v>
      </c>
      <c r="O150" s="450">
        <v>5</v>
      </c>
    </row>
    <row r="151" spans="11:15" x14ac:dyDescent="0.25">
      <c r="K151" s="449">
        <v>43281</v>
      </c>
      <c r="L151" s="450">
        <v>6</v>
      </c>
      <c r="M151" s="450"/>
      <c r="N151" s="449">
        <v>43281</v>
      </c>
      <c r="O151" s="450">
        <v>6</v>
      </c>
    </row>
    <row r="152" spans="11:15" x14ac:dyDescent="0.25">
      <c r="K152" s="449">
        <v>43312</v>
      </c>
      <c r="L152" s="450">
        <v>6</v>
      </c>
      <c r="M152" s="450"/>
      <c r="N152" s="449">
        <v>43312</v>
      </c>
      <c r="O152" s="450">
        <v>6</v>
      </c>
    </row>
    <row r="153" spans="11:15" x14ac:dyDescent="0.25">
      <c r="K153" s="449">
        <v>43343</v>
      </c>
      <c r="L153" s="450">
        <v>4</v>
      </c>
      <c r="M153" s="450"/>
      <c r="N153" s="449">
        <v>43343</v>
      </c>
      <c r="O153" s="450">
        <v>4</v>
      </c>
    </row>
    <row r="154" spans="11:15" x14ac:dyDescent="0.25">
      <c r="K154" s="449">
        <v>43373</v>
      </c>
      <c r="L154" s="450">
        <v>6</v>
      </c>
      <c r="M154" s="450"/>
      <c r="N154" s="449">
        <v>43373</v>
      </c>
      <c r="O154" s="450">
        <v>6</v>
      </c>
    </row>
    <row r="155" spans="11:15" x14ac:dyDescent="0.25">
      <c r="K155" s="449">
        <v>43404</v>
      </c>
      <c r="L155" s="450">
        <v>6</v>
      </c>
      <c r="M155" s="450"/>
      <c r="N155" s="449">
        <v>43404</v>
      </c>
      <c r="O155" s="450">
        <v>6</v>
      </c>
    </row>
    <row r="156" spans="11:15" x14ac:dyDescent="0.25">
      <c r="K156" s="449">
        <v>43434</v>
      </c>
      <c r="L156" s="450">
        <v>6</v>
      </c>
      <c r="M156" s="450"/>
      <c r="N156" s="449">
        <v>43434</v>
      </c>
      <c r="O156" s="450">
        <v>6</v>
      </c>
    </row>
    <row r="157" spans="11:15" x14ac:dyDescent="0.25">
      <c r="K157" s="449">
        <v>43465</v>
      </c>
      <c r="L157" s="450">
        <v>9</v>
      </c>
      <c r="M157" s="450"/>
      <c r="N157" s="449">
        <v>43465</v>
      </c>
      <c r="O157" s="450">
        <v>9</v>
      </c>
    </row>
    <row r="158" spans="11:15" x14ac:dyDescent="0.25">
      <c r="K158" s="449">
        <v>43496</v>
      </c>
      <c r="L158" s="450">
        <v>8</v>
      </c>
      <c r="M158" s="450"/>
      <c r="N158" s="449">
        <v>43496</v>
      </c>
      <c r="O158" s="450">
        <v>8</v>
      </c>
    </row>
    <row r="159" spans="11:15" x14ac:dyDescent="0.25">
      <c r="K159" s="449">
        <v>43524</v>
      </c>
      <c r="L159" s="450">
        <v>8</v>
      </c>
      <c r="M159" s="450"/>
      <c r="N159" s="449">
        <v>43524</v>
      </c>
      <c r="O159" s="450">
        <v>8</v>
      </c>
    </row>
    <row r="160" spans="11:15" x14ac:dyDescent="0.25">
      <c r="K160" s="449">
        <v>43555</v>
      </c>
      <c r="L160" s="450">
        <v>9</v>
      </c>
      <c r="M160" s="450"/>
      <c r="N160" s="449">
        <v>43555</v>
      </c>
      <c r="O160" s="450">
        <v>9</v>
      </c>
    </row>
    <row r="161" spans="11:15" x14ac:dyDescent="0.25">
      <c r="K161" s="451">
        <v>43585</v>
      </c>
      <c r="L161" s="452">
        <v>9</v>
      </c>
      <c r="M161" s="452"/>
      <c r="N161" s="451">
        <v>43585</v>
      </c>
      <c r="O161" s="452">
        <v>9</v>
      </c>
    </row>
    <row r="162" spans="11:15" x14ac:dyDescent="0.25">
      <c r="K162" s="449">
        <v>43616</v>
      </c>
      <c r="L162" s="450">
        <v>10</v>
      </c>
      <c r="M162" s="450"/>
      <c r="N162" s="449">
        <v>43616</v>
      </c>
      <c r="O162" s="450">
        <v>10</v>
      </c>
    </row>
    <row r="163" spans="11:15" x14ac:dyDescent="0.25">
      <c r="K163" s="449">
        <v>43646</v>
      </c>
      <c r="L163" s="450">
        <v>9</v>
      </c>
      <c r="M163" s="450"/>
      <c r="N163" s="449">
        <v>43646</v>
      </c>
      <c r="O163" s="450">
        <v>9</v>
      </c>
    </row>
    <row r="164" spans="11:15" x14ac:dyDescent="0.25">
      <c r="K164" s="449">
        <v>43677</v>
      </c>
      <c r="L164" s="450">
        <v>8</v>
      </c>
      <c r="M164" s="450"/>
      <c r="N164" s="449">
        <v>43677</v>
      </c>
      <c r="O164" s="450">
        <v>8</v>
      </c>
    </row>
    <row r="165" spans="11:15" x14ac:dyDescent="0.25">
      <c r="K165" s="449">
        <v>43708</v>
      </c>
      <c r="L165" s="450">
        <v>7</v>
      </c>
      <c r="M165" s="450"/>
      <c r="N165" s="449">
        <v>43708</v>
      </c>
      <c r="O165" s="450">
        <v>7</v>
      </c>
    </row>
    <row r="166" spans="11:15" x14ac:dyDescent="0.25">
      <c r="K166" s="449">
        <v>43738</v>
      </c>
      <c r="L166" s="450">
        <v>6</v>
      </c>
      <c r="M166" s="450"/>
      <c r="N166" s="449">
        <v>43738</v>
      </c>
      <c r="O166" s="450">
        <v>6</v>
      </c>
    </row>
    <row r="167" spans="11:15" x14ac:dyDescent="0.25">
      <c r="K167" s="449">
        <v>43769</v>
      </c>
      <c r="L167" s="450">
        <v>7</v>
      </c>
      <c r="M167" s="450"/>
      <c r="N167" s="449">
        <v>43769</v>
      </c>
      <c r="O167" s="450">
        <v>7</v>
      </c>
    </row>
    <row r="168" spans="11:15" x14ac:dyDescent="0.25">
      <c r="K168" s="449">
        <v>43799</v>
      </c>
      <c r="L168" s="450">
        <v>5</v>
      </c>
      <c r="M168" s="450"/>
      <c r="N168" s="449">
        <v>43799</v>
      </c>
      <c r="O168" s="450">
        <v>5</v>
      </c>
    </row>
    <row r="169" spans="11:15" x14ac:dyDescent="0.25">
      <c r="K169" s="449">
        <v>43830</v>
      </c>
      <c r="L169" s="450">
        <v>4</v>
      </c>
      <c r="M169" s="450"/>
      <c r="N169" s="449">
        <v>43830</v>
      </c>
      <c r="O169" s="450">
        <v>4</v>
      </c>
    </row>
    <row r="170" spans="11:15" x14ac:dyDescent="0.25">
      <c r="K170" s="449">
        <v>43861</v>
      </c>
      <c r="L170" s="452">
        <v>10</v>
      </c>
      <c r="M170" s="452"/>
      <c r="N170" s="449">
        <v>43861</v>
      </c>
      <c r="O170" s="452">
        <v>10</v>
      </c>
    </row>
    <row r="171" spans="11:15" x14ac:dyDescent="0.25">
      <c r="K171" s="449">
        <v>43890</v>
      </c>
      <c r="L171" s="452">
        <v>10</v>
      </c>
      <c r="M171" s="452"/>
      <c r="N171" s="449">
        <v>43890</v>
      </c>
      <c r="O171" s="452">
        <v>10</v>
      </c>
    </row>
    <row r="172" spans="11:15" x14ac:dyDescent="0.25">
      <c r="K172" s="449">
        <v>43921</v>
      </c>
      <c r="L172" s="452">
        <v>10</v>
      </c>
      <c r="M172" s="452"/>
      <c r="N172" s="449">
        <v>43921</v>
      </c>
      <c r="O172" s="452">
        <v>10</v>
      </c>
    </row>
    <row r="173" spans="11:15" x14ac:dyDescent="0.25">
      <c r="K173" s="449">
        <v>43951</v>
      </c>
      <c r="L173" s="452">
        <v>10</v>
      </c>
      <c r="M173" s="452"/>
      <c r="N173" s="449">
        <v>43951</v>
      </c>
      <c r="O173" s="452">
        <v>10</v>
      </c>
    </row>
    <row r="174" spans="11:15" x14ac:dyDescent="0.25">
      <c r="K174" s="449">
        <v>43982</v>
      </c>
      <c r="L174" s="452">
        <v>10</v>
      </c>
      <c r="M174" s="452"/>
      <c r="N174" s="449">
        <v>43982</v>
      </c>
      <c r="O174" s="452">
        <v>10</v>
      </c>
    </row>
    <row r="175" spans="11:15" x14ac:dyDescent="0.25">
      <c r="K175" s="449">
        <v>44012</v>
      </c>
      <c r="L175" s="452">
        <v>10</v>
      </c>
      <c r="M175" s="452"/>
      <c r="N175" s="449">
        <v>44012</v>
      </c>
      <c r="O175" s="452">
        <v>10</v>
      </c>
    </row>
    <row r="176" spans="11:15" x14ac:dyDescent="0.25">
      <c r="K176" s="449">
        <v>44043</v>
      </c>
      <c r="L176" s="452">
        <v>10</v>
      </c>
      <c r="M176" s="452"/>
      <c r="N176" s="449">
        <v>44043</v>
      </c>
      <c r="O176" s="452">
        <v>10</v>
      </c>
    </row>
    <row r="177" spans="11:15" x14ac:dyDescent="0.25">
      <c r="K177" s="449">
        <v>44074</v>
      </c>
      <c r="L177" s="452">
        <v>10</v>
      </c>
      <c r="M177" s="452"/>
      <c r="N177" s="449">
        <v>44074</v>
      </c>
      <c r="O177" s="452">
        <v>10</v>
      </c>
    </row>
    <row r="178" spans="11:15" x14ac:dyDescent="0.25">
      <c r="K178" s="449">
        <v>44104</v>
      </c>
      <c r="L178" s="452">
        <v>10</v>
      </c>
      <c r="M178" s="452"/>
      <c r="N178" s="449">
        <v>44104</v>
      </c>
      <c r="O178" s="452">
        <v>10</v>
      </c>
    </row>
    <row r="179" spans="11:15" x14ac:dyDescent="0.25">
      <c r="K179" s="449">
        <v>44135</v>
      </c>
      <c r="L179" s="452">
        <v>10</v>
      </c>
      <c r="M179" s="452"/>
      <c r="N179" s="449">
        <v>44135</v>
      </c>
      <c r="O179" s="452">
        <v>10</v>
      </c>
    </row>
    <row r="180" spans="11:15" x14ac:dyDescent="0.25">
      <c r="K180" s="449">
        <v>44165</v>
      </c>
      <c r="L180" s="452">
        <v>10</v>
      </c>
      <c r="M180" s="452"/>
      <c r="N180" s="449">
        <v>44165</v>
      </c>
      <c r="O180" s="452">
        <v>10</v>
      </c>
    </row>
    <row r="181" spans="11:15" x14ac:dyDescent="0.25">
      <c r="K181" s="449">
        <v>44196</v>
      </c>
      <c r="L181" s="452">
        <v>10</v>
      </c>
      <c r="M181" s="452"/>
      <c r="N181" s="449">
        <v>44196</v>
      </c>
      <c r="O181" s="452">
        <v>10</v>
      </c>
    </row>
  </sheetData>
  <mergeCells count="2">
    <mergeCell ref="H22:I22"/>
    <mergeCell ref="H44:I44"/>
  </mergeCells>
  <pageMargins left="0.7" right="0.7" top="0.75" bottom="0.75" header="0.3" footer="0.3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/>
  <dimension ref="A4:N43"/>
  <sheetViews>
    <sheetView showGridLines="0" zoomScale="85" zoomScaleNormal="85" workbookViewId="0">
      <selection activeCell="C10" sqref="C10"/>
    </sheetView>
  </sheetViews>
  <sheetFormatPr defaultRowHeight="13.5" x14ac:dyDescent="0.25"/>
  <cols>
    <col min="1" max="1" width="10.28515625" style="40" customWidth="1"/>
    <col min="2" max="2" width="11" style="40" customWidth="1"/>
    <col min="3" max="3" width="11.42578125" style="40" customWidth="1"/>
    <col min="4" max="4" width="12.7109375" style="40" bestFit="1" customWidth="1"/>
    <col min="5" max="5" width="13.28515625" style="40" customWidth="1"/>
    <col min="6" max="6" width="9.42578125" style="40" bestFit="1" customWidth="1"/>
    <col min="7" max="7" width="12.42578125" style="40" customWidth="1"/>
    <col min="8" max="8" width="12" style="40" customWidth="1"/>
    <col min="9" max="9" width="11.85546875" style="40" customWidth="1"/>
    <col min="10" max="16384" width="9.140625" style="40"/>
  </cols>
  <sheetData>
    <row r="4" spans="1:9" ht="14.25" thickBot="1" x14ac:dyDescent="0.3">
      <c r="A4" s="896" t="s">
        <v>1079</v>
      </c>
      <c r="B4" s="896"/>
      <c r="C4" s="896"/>
      <c r="D4" s="896"/>
      <c r="E4" s="896"/>
      <c r="F4" s="896"/>
      <c r="G4" s="896"/>
      <c r="H4" s="896"/>
      <c r="I4" s="896"/>
    </row>
    <row r="5" spans="1:9" ht="21.75" customHeight="1" thickBot="1" x14ac:dyDescent="0.3">
      <c r="A5" s="973" t="s">
        <v>105</v>
      </c>
      <c r="B5" s="973"/>
      <c r="C5" s="973"/>
      <c r="D5" s="973"/>
      <c r="E5" s="973"/>
      <c r="F5" s="973"/>
      <c r="G5" s="973"/>
      <c r="H5" s="973"/>
      <c r="I5" s="973"/>
    </row>
    <row r="6" spans="1:9" x14ac:dyDescent="0.25">
      <c r="A6" s="974"/>
      <c r="B6" s="914" t="s">
        <v>106</v>
      </c>
      <c r="C6" s="914" t="s">
        <v>107</v>
      </c>
      <c r="D6" s="914" t="s">
        <v>108</v>
      </c>
      <c r="E6" s="914" t="s">
        <v>109</v>
      </c>
      <c r="F6" s="914" t="s">
        <v>110</v>
      </c>
      <c r="G6" s="941" t="s">
        <v>297</v>
      </c>
      <c r="H6" s="111" t="s">
        <v>162</v>
      </c>
      <c r="I6" s="10" t="s">
        <v>298</v>
      </c>
    </row>
    <row r="7" spans="1:9" ht="14.25" thickBot="1" x14ac:dyDescent="0.3">
      <c r="A7" s="975"/>
      <c r="B7" s="978"/>
      <c r="C7" s="978"/>
      <c r="D7" s="978"/>
      <c r="E7" s="978"/>
      <c r="F7" s="978"/>
      <c r="G7" s="979"/>
      <c r="H7" s="464" t="s">
        <v>111</v>
      </c>
      <c r="I7" s="27" t="s">
        <v>111</v>
      </c>
    </row>
    <row r="8" spans="1:9" ht="14.25" thickTop="1" x14ac:dyDescent="0.25">
      <c r="A8" s="110">
        <v>2017</v>
      </c>
      <c r="B8" s="148">
        <v>-0.21626893037103301</v>
      </c>
      <c r="C8" s="148">
        <v>-0.42505009989606268</v>
      </c>
      <c r="D8" s="148">
        <v>-0.4528734745386509</v>
      </c>
      <c r="E8" s="148">
        <v>0.14669234119675245</v>
      </c>
      <c r="F8" s="148">
        <v>-4.5716098862691457E-2</v>
      </c>
      <c r="G8" s="148">
        <v>-0.22317975728129019</v>
      </c>
      <c r="H8" s="148">
        <v>-0.11559893300683921</v>
      </c>
      <c r="I8" s="148">
        <v>0.39176413892771933</v>
      </c>
    </row>
    <row r="9" spans="1:9" x14ac:dyDescent="0.25">
      <c r="A9" s="110">
        <v>2018</v>
      </c>
      <c r="B9" s="148">
        <v>-0.37997971800822761</v>
      </c>
      <c r="C9" s="148">
        <v>-0.84868371232923456</v>
      </c>
      <c r="D9" s="148">
        <v>-0.86171649964573716</v>
      </c>
      <c r="E9" s="148">
        <v>0.31326249105528003</v>
      </c>
      <c r="F9" s="148">
        <v>-0.28030435255530506</v>
      </c>
      <c r="G9" s="148">
        <v>-0.4726954752387269</v>
      </c>
      <c r="H9" s="148">
        <v>-0.22686058530033865</v>
      </c>
      <c r="I9" s="148">
        <v>0.86294015670787161</v>
      </c>
    </row>
    <row r="10" spans="1:9" x14ac:dyDescent="0.25">
      <c r="A10" s="110">
        <v>2019</v>
      </c>
      <c r="B10" s="148">
        <v>-0.37060977200443768</v>
      </c>
      <c r="C10" s="148">
        <v>-1.1544865043730757</v>
      </c>
      <c r="D10" s="148">
        <v>-1.1509523114528464</v>
      </c>
      <c r="E10" s="148">
        <v>0.46322507631780807</v>
      </c>
      <c r="F10" s="148">
        <v>-0.70960894121773199</v>
      </c>
      <c r="G10" s="148">
        <v>-0.75609525910089181</v>
      </c>
      <c r="H10" s="148">
        <v>-0.33693143305710815</v>
      </c>
      <c r="I10" s="148">
        <v>1.410921329363056</v>
      </c>
    </row>
    <row r="11" spans="1:9" ht="14.25" thickBot="1" x14ac:dyDescent="0.3">
      <c r="A11" s="110">
        <v>2020</v>
      </c>
      <c r="B11" s="148">
        <v>-0.27615103583433775</v>
      </c>
      <c r="C11" s="148">
        <v>-1.4145807588507808</v>
      </c>
      <c r="D11" s="148">
        <v>-1.3984167999792518</v>
      </c>
      <c r="E11" s="148">
        <v>0.61237909913277322</v>
      </c>
      <c r="F11" s="148">
        <v>-1.2897654845401618</v>
      </c>
      <c r="G11" s="148">
        <v>-1.0732722982124534</v>
      </c>
      <c r="H11" s="148">
        <v>-0.44401826064915451</v>
      </c>
      <c r="I11" s="148">
        <v>2.0668663446693074</v>
      </c>
    </row>
    <row r="12" spans="1:9" ht="14.25" thickTop="1" x14ac:dyDescent="0.25">
      <c r="A12" s="639" t="s">
        <v>299</v>
      </c>
      <c r="B12" s="639"/>
      <c r="C12" s="639"/>
      <c r="D12" s="639"/>
      <c r="E12" s="639"/>
      <c r="F12" s="639"/>
      <c r="G12" s="639"/>
      <c r="H12" s="972" t="s">
        <v>21</v>
      </c>
      <c r="I12" s="972"/>
    </row>
    <row r="14" spans="1:9" ht="23.25" customHeight="1" thickBot="1" x14ac:dyDescent="0.3">
      <c r="A14" s="897" t="s">
        <v>1080</v>
      </c>
      <c r="B14" s="896"/>
      <c r="C14" s="896"/>
      <c r="D14" s="896"/>
      <c r="E14" s="896"/>
      <c r="F14" s="896"/>
      <c r="G14" s="896"/>
      <c r="H14" s="896"/>
      <c r="I14" s="896"/>
    </row>
    <row r="15" spans="1:9" ht="14.25" thickBot="1" x14ac:dyDescent="0.3">
      <c r="A15" s="973" t="s">
        <v>337</v>
      </c>
      <c r="B15" s="973"/>
      <c r="C15" s="973"/>
      <c r="D15" s="973"/>
      <c r="E15" s="973"/>
      <c r="F15" s="973"/>
      <c r="G15" s="973"/>
      <c r="H15" s="973"/>
      <c r="I15" s="973"/>
    </row>
    <row r="16" spans="1:9" ht="15" customHeight="1" x14ac:dyDescent="0.25">
      <c r="A16" s="974"/>
      <c r="B16" s="914" t="s">
        <v>338</v>
      </c>
      <c r="C16" s="914" t="s">
        <v>339</v>
      </c>
      <c r="D16" s="911" t="s">
        <v>340</v>
      </c>
      <c r="E16" s="914" t="s">
        <v>341</v>
      </c>
      <c r="F16" s="911" t="s">
        <v>110</v>
      </c>
      <c r="G16" s="941" t="s">
        <v>342</v>
      </c>
      <c r="H16" s="941" t="s">
        <v>343</v>
      </c>
      <c r="I16" s="941" t="s">
        <v>344</v>
      </c>
    </row>
    <row r="17" spans="1:14" ht="21.75" customHeight="1" thickBot="1" x14ac:dyDescent="0.3">
      <c r="A17" s="975"/>
      <c r="B17" s="977"/>
      <c r="C17" s="977"/>
      <c r="D17" s="977"/>
      <c r="E17" s="977"/>
      <c r="F17" s="977"/>
      <c r="G17" s="976"/>
      <c r="H17" s="976"/>
      <c r="I17" s="976"/>
    </row>
    <row r="18" spans="1:14" ht="14.25" thickTop="1" x14ac:dyDescent="0.25">
      <c r="A18" s="110">
        <f>A8</f>
        <v>2017</v>
      </c>
      <c r="B18" s="148">
        <f t="shared" ref="B18:I18" si="0">B8</f>
        <v>-0.21626893037103301</v>
      </c>
      <c r="C18" s="148">
        <f t="shared" si="0"/>
        <v>-0.42505009989606268</v>
      </c>
      <c r="D18" s="148">
        <f t="shared" si="0"/>
        <v>-0.4528734745386509</v>
      </c>
      <c r="E18" s="148">
        <f t="shared" si="0"/>
        <v>0.14669234119675245</v>
      </c>
      <c r="F18" s="148">
        <f t="shared" si="0"/>
        <v>-4.5716098862691457E-2</v>
      </c>
      <c r="G18" s="148">
        <f t="shared" si="0"/>
        <v>-0.22317975728129019</v>
      </c>
      <c r="H18" s="148">
        <f t="shared" si="0"/>
        <v>-0.11559893300683921</v>
      </c>
      <c r="I18" s="148">
        <f t="shared" si="0"/>
        <v>0.39176413892771933</v>
      </c>
    </row>
    <row r="19" spans="1:14" x14ac:dyDescent="0.25">
      <c r="A19" s="110">
        <f t="shared" ref="A19:I19" si="1">A9</f>
        <v>2018</v>
      </c>
      <c r="B19" s="148">
        <f t="shared" si="1"/>
        <v>-0.37997971800822761</v>
      </c>
      <c r="C19" s="148">
        <f t="shared" si="1"/>
        <v>-0.84868371232923456</v>
      </c>
      <c r="D19" s="148">
        <f t="shared" si="1"/>
        <v>-0.86171649964573716</v>
      </c>
      <c r="E19" s="148">
        <f t="shared" si="1"/>
        <v>0.31326249105528003</v>
      </c>
      <c r="F19" s="148">
        <f t="shared" si="1"/>
        <v>-0.28030435255530506</v>
      </c>
      <c r="G19" s="148">
        <f t="shared" si="1"/>
        <v>-0.4726954752387269</v>
      </c>
      <c r="H19" s="148">
        <f t="shared" si="1"/>
        <v>-0.22686058530033865</v>
      </c>
      <c r="I19" s="148">
        <f t="shared" si="1"/>
        <v>0.86294015670787161</v>
      </c>
    </row>
    <row r="20" spans="1:14" x14ac:dyDescent="0.25">
      <c r="A20" s="110">
        <f t="shared" ref="A20:I20" si="2">A10</f>
        <v>2019</v>
      </c>
      <c r="B20" s="148">
        <f t="shared" si="2"/>
        <v>-0.37060977200443768</v>
      </c>
      <c r="C20" s="148">
        <f t="shared" si="2"/>
        <v>-1.1544865043730757</v>
      </c>
      <c r="D20" s="148">
        <f t="shared" si="2"/>
        <v>-1.1509523114528464</v>
      </c>
      <c r="E20" s="148">
        <f t="shared" si="2"/>
        <v>0.46322507631780807</v>
      </c>
      <c r="F20" s="148">
        <f t="shared" si="2"/>
        <v>-0.70960894121773199</v>
      </c>
      <c r="G20" s="148">
        <f t="shared" si="2"/>
        <v>-0.75609525910089181</v>
      </c>
      <c r="H20" s="148">
        <f t="shared" si="2"/>
        <v>-0.33693143305710815</v>
      </c>
      <c r="I20" s="148">
        <f t="shared" si="2"/>
        <v>1.410921329363056</v>
      </c>
    </row>
    <row r="21" spans="1:14" ht="14.25" thickBot="1" x14ac:dyDescent="0.3">
      <c r="A21" s="110">
        <f t="shared" ref="A21:I21" si="3">A11</f>
        <v>2020</v>
      </c>
      <c r="B21" s="148">
        <f t="shared" si="3"/>
        <v>-0.27615103583433775</v>
      </c>
      <c r="C21" s="148">
        <f t="shared" si="3"/>
        <v>-1.4145807588507808</v>
      </c>
      <c r="D21" s="148">
        <f t="shared" si="3"/>
        <v>-1.3984167999792518</v>
      </c>
      <c r="E21" s="148">
        <f t="shared" si="3"/>
        <v>0.61237909913277322</v>
      </c>
      <c r="F21" s="148">
        <f t="shared" si="3"/>
        <v>-1.2897654845401618</v>
      </c>
      <c r="G21" s="148">
        <f t="shared" si="3"/>
        <v>-1.0732722982124534</v>
      </c>
      <c r="H21" s="148">
        <f t="shared" si="3"/>
        <v>-0.44401826064915451</v>
      </c>
      <c r="I21" s="148">
        <f t="shared" si="3"/>
        <v>2.0668663446693074</v>
      </c>
    </row>
    <row r="22" spans="1:14" ht="14.25" thickTop="1" x14ac:dyDescent="0.25">
      <c r="A22" s="639"/>
      <c r="B22" s="639"/>
      <c r="C22" s="639"/>
      <c r="D22" s="639"/>
      <c r="E22" s="639"/>
      <c r="F22" s="639"/>
      <c r="G22" s="639"/>
      <c r="H22" s="639"/>
      <c r="I22" s="633" t="s">
        <v>345</v>
      </c>
    </row>
    <row r="24" spans="1:14" x14ac:dyDescent="0.25">
      <c r="A24" s="419"/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</row>
    <row r="25" spans="1:14" x14ac:dyDescent="0.25">
      <c r="A25" s="419"/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</row>
    <row r="26" spans="1:14" x14ac:dyDescent="0.25">
      <c r="A26" s="419"/>
      <c r="B26" s="419"/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</row>
    <row r="27" spans="1:14" x14ac:dyDescent="0.25">
      <c r="A27" s="419"/>
      <c r="B27" s="641"/>
      <c r="C27" s="162"/>
      <c r="D27" s="163"/>
      <c r="E27" s="163"/>
      <c r="F27" s="163"/>
      <c r="G27" s="642"/>
      <c r="H27" s="527"/>
      <c r="I27" s="527"/>
      <c r="J27" s="527"/>
      <c r="K27" s="527"/>
      <c r="L27" s="419"/>
      <c r="M27" s="419"/>
      <c r="N27" s="419"/>
    </row>
    <row r="28" spans="1:14" x14ac:dyDescent="0.25">
      <c r="A28" s="419"/>
      <c r="B28" s="641"/>
      <c r="C28" s="164"/>
      <c r="D28" s="165"/>
      <c r="E28" s="165"/>
      <c r="F28" s="165"/>
      <c r="G28" s="642"/>
      <c r="H28" s="527"/>
      <c r="I28" s="527"/>
      <c r="J28" s="527"/>
      <c r="K28" s="527"/>
      <c r="L28" s="419"/>
      <c r="M28" s="419"/>
      <c r="N28" s="419"/>
    </row>
    <row r="29" spans="1:14" x14ac:dyDescent="0.25">
      <c r="A29" s="419"/>
      <c r="B29" s="419"/>
      <c r="C29" s="419"/>
      <c r="D29" s="419"/>
      <c r="E29" s="419"/>
      <c r="F29" s="419"/>
      <c r="G29" s="642"/>
      <c r="H29" s="527"/>
      <c r="I29" s="527"/>
      <c r="J29" s="527"/>
      <c r="K29" s="527"/>
      <c r="L29" s="419"/>
      <c r="M29" s="419"/>
      <c r="N29" s="419"/>
    </row>
    <row r="30" spans="1:14" x14ac:dyDescent="0.25">
      <c r="A30" s="419"/>
      <c r="B30" s="419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</row>
    <row r="31" spans="1:14" x14ac:dyDescent="0.25">
      <c r="A31" s="419"/>
      <c r="B31" s="419"/>
      <c r="C31" s="641"/>
      <c r="D31" s="641"/>
      <c r="E31" s="641"/>
      <c r="F31" s="641"/>
      <c r="G31" s="642"/>
      <c r="H31" s="527"/>
      <c r="I31" s="527"/>
      <c r="J31" s="527"/>
      <c r="K31" s="527"/>
      <c r="L31" s="419"/>
      <c r="M31" s="419"/>
      <c r="N31" s="419"/>
    </row>
    <row r="32" spans="1:14" x14ac:dyDescent="0.25">
      <c r="A32" s="419"/>
      <c r="B32" s="419"/>
      <c r="C32" s="641"/>
      <c r="D32" s="641"/>
      <c r="E32" s="641"/>
      <c r="F32" s="641"/>
      <c r="G32" s="642"/>
      <c r="H32" s="527"/>
      <c r="I32" s="527"/>
      <c r="J32" s="527"/>
      <c r="K32" s="527"/>
      <c r="L32" s="419"/>
      <c r="M32" s="419"/>
      <c r="N32" s="419"/>
    </row>
    <row r="33" spans="1:14" x14ac:dyDescent="0.25">
      <c r="A33" s="419"/>
      <c r="B33" s="419"/>
      <c r="C33" s="641"/>
      <c r="D33" s="641"/>
      <c r="E33" s="641"/>
      <c r="F33" s="641"/>
      <c r="G33" s="642"/>
      <c r="H33" s="527"/>
      <c r="I33" s="527"/>
      <c r="J33" s="527"/>
      <c r="K33" s="527"/>
      <c r="L33" s="419"/>
      <c r="M33" s="419"/>
      <c r="N33" s="419"/>
    </row>
    <row r="34" spans="1:14" x14ac:dyDescent="0.25">
      <c r="A34" s="419"/>
      <c r="B34" s="419"/>
      <c r="C34" s="419"/>
      <c r="D34" s="419"/>
      <c r="E34" s="419"/>
      <c r="F34" s="419"/>
      <c r="G34" s="419"/>
      <c r="H34" s="527"/>
      <c r="I34" s="527"/>
      <c r="J34" s="527"/>
      <c r="K34" s="527"/>
      <c r="L34" s="419"/>
      <c r="M34" s="419"/>
      <c r="N34" s="419"/>
    </row>
    <row r="35" spans="1:14" x14ac:dyDescent="0.25">
      <c r="A35" s="419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</row>
    <row r="36" spans="1:14" x14ac:dyDescent="0.25">
      <c r="A36" s="419"/>
      <c r="B36" s="419"/>
      <c r="C36" s="419"/>
      <c r="D36" s="419"/>
      <c r="E36" s="419"/>
      <c r="F36" s="419"/>
      <c r="G36" s="642"/>
      <c r="H36" s="527"/>
      <c r="I36" s="527"/>
      <c r="J36" s="527"/>
      <c r="K36" s="527"/>
      <c r="L36" s="419"/>
      <c r="M36" s="419"/>
      <c r="N36" s="419"/>
    </row>
    <row r="37" spans="1:14" x14ac:dyDescent="0.25">
      <c r="A37" s="419"/>
      <c r="B37" s="419"/>
      <c r="C37" s="419"/>
      <c r="D37" s="419"/>
      <c r="E37" s="419"/>
      <c r="F37" s="419"/>
      <c r="G37" s="642"/>
      <c r="H37" s="527"/>
      <c r="I37" s="527"/>
      <c r="J37" s="527"/>
      <c r="K37" s="527"/>
      <c r="L37" s="419"/>
      <c r="M37" s="419"/>
      <c r="N37" s="419"/>
    </row>
    <row r="38" spans="1:14" x14ac:dyDescent="0.25">
      <c r="A38" s="419"/>
      <c r="B38" s="419"/>
      <c r="C38" s="419"/>
      <c r="D38" s="419"/>
      <c r="E38" s="419"/>
      <c r="F38" s="419"/>
      <c r="G38" s="642"/>
      <c r="H38" s="527"/>
      <c r="I38" s="527"/>
      <c r="J38" s="527"/>
      <c r="K38" s="527"/>
      <c r="L38" s="419"/>
      <c r="M38" s="419"/>
      <c r="N38" s="419"/>
    </row>
    <row r="39" spans="1:14" x14ac:dyDescent="0.25">
      <c r="A39" s="419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</row>
    <row r="40" spans="1:14" x14ac:dyDescent="0.25">
      <c r="A40" s="419"/>
      <c r="B40" s="419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</row>
    <row r="41" spans="1:14" x14ac:dyDescent="0.25">
      <c r="A41" s="419"/>
      <c r="B41" s="419"/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</row>
    <row r="42" spans="1:14" x14ac:dyDescent="0.25">
      <c r="A42" s="419"/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</row>
    <row r="43" spans="1:14" x14ac:dyDescent="0.25">
      <c r="A43" s="419"/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</row>
  </sheetData>
  <mergeCells count="21">
    <mergeCell ref="A4:I4"/>
    <mergeCell ref="A5:I5"/>
    <mergeCell ref="A6:A7"/>
    <mergeCell ref="B6:B7"/>
    <mergeCell ref="C6:C7"/>
    <mergeCell ref="D6:D7"/>
    <mergeCell ref="E6:E7"/>
    <mergeCell ref="F6:F7"/>
    <mergeCell ref="G6:G7"/>
    <mergeCell ref="H12:I12"/>
    <mergeCell ref="A14:I14"/>
    <mergeCell ref="A15:I15"/>
    <mergeCell ref="A16:A17"/>
    <mergeCell ref="I16:I17"/>
    <mergeCell ref="B16:B17"/>
    <mergeCell ref="C16:C17"/>
    <mergeCell ref="D16:D17"/>
    <mergeCell ref="E16:E17"/>
    <mergeCell ref="F16:F17"/>
    <mergeCell ref="G16:G17"/>
    <mergeCell ref="H16:H17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/>
  <dimension ref="A4:I22"/>
  <sheetViews>
    <sheetView showGridLines="0" zoomScale="85" zoomScaleNormal="85" workbookViewId="0">
      <selection activeCell="D10" sqref="D10"/>
    </sheetView>
  </sheetViews>
  <sheetFormatPr defaultRowHeight="13.5" x14ac:dyDescent="0.25"/>
  <cols>
    <col min="1" max="1" width="9.140625" style="40"/>
    <col min="2" max="2" width="14.42578125" style="40" customWidth="1"/>
    <col min="3" max="4" width="9.140625" style="40"/>
    <col min="5" max="5" width="12.85546875" style="40" customWidth="1"/>
    <col min="6" max="6" width="9.42578125" style="40" customWidth="1"/>
    <col min="7" max="8" width="12.140625" style="40" customWidth="1"/>
    <col min="9" max="9" width="13.28515625" style="40" customWidth="1"/>
    <col min="10" max="16384" width="9.140625" style="40"/>
  </cols>
  <sheetData>
    <row r="4" spans="1:9" ht="14.25" thickBot="1" x14ac:dyDescent="0.3">
      <c r="A4" s="896" t="s">
        <v>1081</v>
      </c>
      <c r="B4" s="896"/>
      <c r="C4" s="896"/>
      <c r="D4" s="896"/>
      <c r="E4" s="896"/>
      <c r="F4" s="896"/>
      <c r="G4" s="896"/>
      <c r="H4" s="896"/>
      <c r="I4" s="896"/>
    </row>
    <row r="5" spans="1:9" ht="14.25" thickBot="1" x14ac:dyDescent="0.3">
      <c r="A5" s="980" t="s">
        <v>105</v>
      </c>
      <c r="B5" s="980"/>
      <c r="C5" s="980"/>
      <c r="D5" s="980"/>
      <c r="E5" s="980"/>
      <c r="F5" s="980"/>
      <c r="G5" s="980"/>
      <c r="H5" s="980"/>
      <c r="I5" s="980"/>
    </row>
    <row r="6" spans="1:9" ht="27" customHeight="1" x14ac:dyDescent="0.25">
      <c r="A6" s="981"/>
      <c r="B6" s="914" t="s">
        <v>106</v>
      </c>
      <c r="C6" s="914" t="s">
        <v>107</v>
      </c>
      <c r="D6" s="914" t="s">
        <v>108</v>
      </c>
      <c r="E6" s="914" t="s">
        <v>110</v>
      </c>
      <c r="F6" s="914" t="s">
        <v>297</v>
      </c>
      <c r="G6" s="914" t="s">
        <v>1561</v>
      </c>
      <c r="H6" s="914" t="s">
        <v>1592</v>
      </c>
      <c r="I6" s="914" t="s">
        <v>1593</v>
      </c>
    </row>
    <row r="7" spans="1:9" ht="15.75" customHeight="1" thickBot="1" x14ac:dyDescent="0.3">
      <c r="A7" s="982"/>
      <c r="B7" s="978"/>
      <c r="C7" s="978"/>
      <c r="D7" s="978"/>
      <c r="E7" s="978"/>
      <c r="F7" s="978"/>
      <c r="G7" s="978"/>
      <c r="H7" s="978" t="s">
        <v>111</v>
      </c>
      <c r="I7" s="978" t="s">
        <v>111</v>
      </c>
    </row>
    <row r="8" spans="1:9" ht="14.25" thickTop="1" x14ac:dyDescent="0.25">
      <c r="A8" s="110">
        <v>2017</v>
      </c>
      <c r="B8" s="148">
        <v>-0.15132718192798489</v>
      </c>
      <c r="C8" s="148">
        <v>-0.24286266933929435</v>
      </c>
      <c r="D8" s="148">
        <v>-7.966415520637149E-2</v>
      </c>
      <c r="E8" s="148">
        <v>-7.5116955590481815E-3</v>
      </c>
      <c r="F8" s="148">
        <v>5.4686439072057502E-2</v>
      </c>
      <c r="G8" s="148">
        <v>3.3973569967240241E-2</v>
      </c>
      <c r="H8" s="148">
        <v>-7.3861408148963373E-2</v>
      </c>
      <c r="I8" s="148">
        <v>0.15008522611645958</v>
      </c>
    </row>
    <row r="9" spans="1:9" x14ac:dyDescent="0.25">
      <c r="A9" s="110">
        <v>2018</v>
      </c>
      <c r="B9" s="148">
        <v>-0.11111118429775191</v>
      </c>
      <c r="C9" s="148">
        <v>-0.4299562576572602</v>
      </c>
      <c r="D9" s="148">
        <v>-8.0155213453192431E-2</v>
      </c>
      <c r="E9" s="148">
        <v>-3.9438815208614475E-2</v>
      </c>
      <c r="F9" s="148">
        <v>7.33379751633359E-2</v>
      </c>
      <c r="G9" s="148">
        <v>5.2826883472536522E-2</v>
      </c>
      <c r="H9" s="148">
        <v>-0.11899561025587276</v>
      </c>
      <c r="I9" s="148">
        <v>0.27077490188503361</v>
      </c>
    </row>
    <row r="10" spans="1:9" x14ac:dyDescent="0.25">
      <c r="A10" s="110">
        <v>2019</v>
      </c>
      <c r="B10" s="148">
        <v>-5.6640623999937301E-2</v>
      </c>
      <c r="C10" s="148">
        <v>-0.60178444852897472</v>
      </c>
      <c r="D10" s="148">
        <v>-7.3607018972132732E-2</v>
      </c>
      <c r="E10" s="148">
        <v>-7.1471382362042757E-2</v>
      </c>
      <c r="F10" s="148">
        <v>9.0804079360910783E-2</v>
      </c>
      <c r="G10" s="148">
        <v>3.5641796281582858E-2</v>
      </c>
      <c r="H10" s="148">
        <v>-0.15581778742118102</v>
      </c>
      <c r="I10" s="148">
        <v>0.41812110704947258</v>
      </c>
    </row>
    <row r="11" spans="1:9" ht="14.25" thickBot="1" x14ac:dyDescent="0.3">
      <c r="A11" s="110">
        <v>2020</v>
      </c>
      <c r="B11" s="148">
        <v>-3.9523609363223411E-2</v>
      </c>
      <c r="C11" s="148">
        <v>-0.78886118688756834</v>
      </c>
      <c r="D11" s="148">
        <v>-8.3052460233778991E-2</v>
      </c>
      <c r="E11" s="148">
        <v>-9.512855582709534E-2</v>
      </c>
      <c r="F11" s="148">
        <v>0.11890586584611118</v>
      </c>
      <c r="G11" s="148">
        <v>3.1735064920274864E-2</v>
      </c>
      <c r="H11" s="148">
        <v>-0.20265236627099573</v>
      </c>
      <c r="I11" s="148">
        <v>0.61094870845897731</v>
      </c>
    </row>
    <row r="12" spans="1:9" ht="26.25" customHeight="1" thickTop="1" x14ac:dyDescent="0.25">
      <c r="A12" s="639" t="s">
        <v>300</v>
      </c>
      <c r="B12" s="639"/>
      <c r="C12" s="639"/>
      <c r="D12" s="639"/>
      <c r="E12" s="639"/>
      <c r="F12" s="639"/>
      <c r="G12" s="639"/>
      <c r="H12" s="639"/>
      <c r="I12" s="640" t="s">
        <v>21</v>
      </c>
    </row>
    <row r="13" spans="1:9" ht="11.25" customHeight="1" x14ac:dyDescent="0.25"/>
    <row r="14" spans="1:9" ht="33" customHeight="1" thickBot="1" x14ac:dyDescent="0.3">
      <c r="A14" s="897" t="s">
        <v>1082</v>
      </c>
      <c r="B14" s="896"/>
      <c r="C14" s="896"/>
      <c r="D14" s="896"/>
      <c r="E14" s="896"/>
      <c r="F14" s="896"/>
      <c r="G14" s="896"/>
      <c r="H14" s="896"/>
      <c r="I14" s="896"/>
    </row>
    <row r="15" spans="1:9" ht="14.25" thickBot="1" x14ac:dyDescent="0.3">
      <c r="A15" s="973" t="s">
        <v>337</v>
      </c>
      <c r="B15" s="973"/>
      <c r="C15" s="973"/>
      <c r="D15" s="973"/>
      <c r="E15" s="973"/>
      <c r="F15" s="973"/>
      <c r="G15" s="973"/>
      <c r="H15" s="973"/>
      <c r="I15" s="973"/>
    </row>
    <row r="16" spans="1:9" ht="15" customHeight="1" x14ac:dyDescent="0.25">
      <c r="A16" s="974"/>
      <c r="B16" s="914" t="s">
        <v>338</v>
      </c>
      <c r="C16" s="914" t="s">
        <v>339</v>
      </c>
      <c r="D16" s="911" t="s">
        <v>340</v>
      </c>
      <c r="E16" s="914" t="s">
        <v>110</v>
      </c>
      <c r="F16" s="914" t="s">
        <v>342</v>
      </c>
      <c r="G16" s="914" t="s">
        <v>1591</v>
      </c>
      <c r="H16" s="914" t="s">
        <v>343</v>
      </c>
      <c r="I16" s="914" t="s">
        <v>344</v>
      </c>
    </row>
    <row r="17" spans="1:9" ht="24" customHeight="1" thickBot="1" x14ac:dyDescent="0.3">
      <c r="A17" s="975"/>
      <c r="B17" s="977"/>
      <c r="C17" s="977"/>
      <c r="D17" s="977"/>
      <c r="E17" s="978"/>
      <c r="F17" s="978"/>
      <c r="G17" s="978"/>
      <c r="H17" s="978"/>
      <c r="I17" s="978"/>
    </row>
    <row r="18" spans="1:9" ht="14.25" thickTop="1" x14ac:dyDescent="0.25">
      <c r="A18" s="110">
        <f>A8</f>
        <v>2017</v>
      </c>
      <c r="B18" s="148">
        <f t="shared" ref="B18:D18" si="0">B8</f>
        <v>-0.15132718192798489</v>
      </c>
      <c r="C18" s="148">
        <f t="shared" si="0"/>
        <v>-0.24286266933929435</v>
      </c>
      <c r="D18" s="148">
        <f t="shared" si="0"/>
        <v>-7.966415520637149E-2</v>
      </c>
      <c r="E18" s="148">
        <f t="shared" ref="E18:I21" si="1">E8</f>
        <v>-7.5116955590481815E-3</v>
      </c>
      <c r="F18" s="148">
        <f t="shared" si="1"/>
        <v>5.4686439072057502E-2</v>
      </c>
      <c r="G18" s="148">
        <f t="shared" si="1"/>
        <v>3.3973569967240241E-2</v>
      </c>
      <c r="H18" s="148">
        <f t="shared" si="1"/>
        <v>-7.3861408148963373E-2</v>
      </c>
      <c r="I18" s="148">
        <f t="shared" si="1"/>
        <v>0.15008522611645958</v>
      </c>
    </row>
    <row r="19" spans="1:9" x14ac:dyDescent="0.25">
      <c r="A19" s="110">
        <f t="shared" ref="A19:D19" si="2">A9</f>
        <v>2018</v>
      </c>
      <c r="B19" s="148">
        <f t="shared" si="2"/>
        <v>-0.11111118429775191</v>
      </c>
      <c r="C19" s="148">
        <f t="shared" si="2"/>
        <v>-0.4299562576572602</v>
      </c>
      <c r="D19" s="148">
        <f t="shared" si="2"/>
        <v>-8.0155213453192431E-2</v>
      </c>
      <c r="E19" s="148">
        <f t="shared" si="1"/>
        <v>-3.9438815208614475E-2</v>
      </c>
      <c r="F19" s="148">
        <f t="shared" si="1"/>
        <v>7.33379751633359E-2</v>
      </c>
      <c r="G19" s="148">
        <f t="shared" si="1"/>
        <v>5.2826883472536522E-2</v>
      </c>
      <c r="H19" s="148">
        <f t="shared" si="1"/>
        <v>-0.11899561025587276</v>
      </c>
      <c r="I19" s="148">
        <f t="shared" si="1"/>
        <v>0.27077490188503361</v>
      </c>
    </row>
    <row r="20" spans="1:9" x14ac:dyDescent="0.25">
      <c r="A20" s="110">
        <f t="shared" ref="A20:D20" si="3">A10</f>
        <v>2019</v>
      </c>
      <c r="B20" s="148">
        <f t="shared" si="3"/>
        <v>-5.6640623999937301E-2</v>
      </c>
      <c r="C20" s="148">
        <f t="shared" si="3"/>
        <v>-0.60178444852897472</v>
      </c>
      <c r="D20" s="148">
        <f t="shared" si="3"/>
        <v>-7.3607018972132732E-2</v>
      </c>
      <c r="E20" s="148">
        <f t="shared" si="1"/>
        <v>-7.1471382362042757E-2</v>
      </c>
      <c r="F20" s="148">
        <f t="shared" si="1"/>
        <v>9.0804079360910783E-2</v>
      </c>
      <c r="G20" s="148">
        <f t="shared" si="1"/>
        <v>3.5641796281582858E-2</v>
      </c>
      <c r="H20" s="148">
        <f t="shared" si="1"/>
        <v>-0.15581778742118102</v>
      </c>
      <c r="I20" s="148">
        <f t="shared" si="1"/>
        <v>0.41812110704947258</v>
      </c>
    </row>
    <row r="21" spans="1:9" ht="14.25" thickBot="1" x14ac:dyDescent="0.3">
      <c r="A21" s="110">
        <f t="shared" ref="A21:D21" si="4">A11</f>
        <v>2020</v>
      </c>
      <c r="B21" s="148">
        <f t="shared" si="4"/>
        <v>-3.9523609363223411E-2</v>
      </c>
      <c r="C21" s="148">
        <f t="shared" si="4"/>
        <v>-0.78886118688756834</v>
      </c>
      <c r="D21" s="148">
        <f t="shared" si="4"/>
        <v>-8.3052460233778991E-2</v>
      </c>
      <c r="E21" s="148">
        <f t="shared" si="1"/>
        <v>-9.512855582709534E-2</v>
      </c>
      <c r="F21" s="148">
        <f t="shared" si="1"/>
        <v>0.11890586584611118</v>
      </c>
      <c r="G21" s="148">
        <f t="shared" si="1"/>
        <v>3.1735064920274864E-2</v>
      </c>
      <c r="H21" s="148">
        <f t="shared" si="1"/>
        <v>-0.20265236627099573</v>
      </c>
      <c r="I21" s="148">
        <f t="shared" si="1"/>
        <v>0.61094870845897731</v>
      </c>
    </row>
    <row r="22" spans="1:9" ht="14.25" thickTop="1" x14ac:dyDescent="0.25">
      <c r="A22" s="639"/>
      <c r="B22" s="639"/>
      <c r="C22" s="639"/>
      <c r="D22" s="639"/>
      <c r="E22" s="639"/>
      <c r="F22" s="639"/>
      <c r="G22" s="639"/>
      <c r="H22" s="639"/>
      <c r="I22" s="639" t="s">
        <v>345</v>
      </c>
    </row>
  </sheetData>
  <mergeCells count="22">
    <mergeCell ref="A4:I4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14:I14"/>
    <mergeCell ref="A15:I15"/>
    <mergeCell ref="A16:A17"/>
    <mergeCell ref="B16:B17"/>
    <mergeCell ref="C16:C17"/>
    <mergeCell ref="D16:D17"/>
    <mergeCell ref="E16:E17"/>
    <mergeCell ref="F16:F17"/>
    <mergeCell ref="G16:G17"/>
    <mergeCell ref="I16:I17"/>
    <mergeCell ref="H16:H1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7"/>
  <dimension ref="A2:J25"/>
  <sheetViews>
    <sheetView showGridLines="0" zoomScale="85" zoomScaleNormal="85" workbookViewId="0">
      <selection activeCell="C22" sqref="C22"/>
    </sheetView>
  </sheetViews>
  <sheetFormatPr defaultRowHeight="13.5" x14ac:dyDescent="0.25"/>
  <cols>
    <col min="1" max="1" width="39.85546875" style="40" bestFit="1" customWidth="1"/>
    <col min="2" max="16384" width="9.140625" style="40"/>
  </cols>
  <sheetData>
    <row r="2" spans="1:9" x14ac:dyDescent="0.25">
      <c r="A2" s="634"/>
      <c r="B2" s="635"/>
      <c r="C2" s="635"/>
      <c r="D2" s="635"/>
      <c r="E2" s="635"/>
    </row>
    <row r="3" spans="1:9" ht="15.75" customHeight="1" x14ac:dyDescent="0.25">
      <c r="A3" s="983" t="s">
        <v>1379</v>
      </c>
      <c r="B3" s="983"/>
      <c r="C3" s="983"/>
      <c r="D3" s="983"/>
      <c r="E3" s="983"/>
      <c r="F3" s="636"/>
      <c r="G3" s="636"/>
      <c r="H3" s="636"/>
      <c r="I3" s="636"/>
    </row>
    <row r="4" spans="1:9" x14ac:dyDescent="0.25">
      <c r="A4" s="390"/>
      <c r="B4" s="390">
        <v>2014</v>
      </c>
      <c r="C4" s="390">
        <v>2015</v>
      </c>
      <c r="D4" s="390">
        <v>2016</v>
      </c>
      <c r="E4" s="638" t="s">
        <v>1380</v>
      </c>
    </row>
    <row r="5" spans="1:9" x14ac:dyDescent="0.25">
      <c r="A5" s="40" t="s">
        <v>1381</v>
      </c>
      <c r="B5" s="40">
        <v>23</v>
      </c>
      <c r="C5" s="40">
        <v>75</v>
      </c>
      <c r="D5" s="40">
        <v>61.1</v>
      </c>
      <c r="E5" s="40">
        <v>159.4</v>
      </c>
    </row>
    <row r="6" spans="1:9" x14ac:dyDescent="0.25">
      <c r="A6" s="390" t="s">
        <v>1382</v>
      </c>
      <c r="B6" s="390">
        <v>0.03</v>
      </c>
      <c r="C6" s="390">
        <v>0.1</v>
      </c>
      <c r="D6" s="390">
        <v>0.08</v>
      </c>
      <c r="E6" s="390">
        <v>0.2</v>
      </c>
    </row>
    <row r="7" spans="1:9" x14ac:dyDescent="0.25">
      <c r="E7" s="40" t="s">
        <v>21</v>
      </c>
    </row>
    <row r="8" spans="1:9" x14ac:dyDescent="0.25">
      <c r="A8" s="983" t="s">
        <v>1383</v>
      </c>
      <c r="B8" s="983"/>
      <c r="C8" s="983"/>
      <c r="D8" s="983"/>
      <c r="E8" s="983"/>
    </row>
    <row r="9" spans="1:9" x14ac:dyDescent="0.25">
      <c r="A9" s="390"/>
      <c r="B9" s="390">
        <v>2014</v>
      </c>
      <c r="C9" s="390">
        <v>2015</v>
      </c>
      <c r="D9" s="390">
        <v>2016</v>
      </c>
      <c r="E9" s="638" t="s">
        <v>1380</v>
      </c>
    </row>
    <row r="10" spans="1:9" x14ac:dyDescent="0.25">
      <c r="A10" s="40" t="s">
        <v>1385</v>
      </c>
      <c r="B10" s="40">
        <v>23</v>
      </c>
      <c r="C10" s="40">
        <v>75</v>
      </c>
      <c r="D10" s="40">
        <v>61.1</v>
      </c>
      <c r="E10" s="40">
        <v>159.4</v>
      </c>
    </row>
    <row r="11" spans="1:9" x14ac:dyDescent="0.25">
      <c r="A11" s="390" t="s">
        <v>1384</v>
      </c>
      <c r="B11" s="390">
        <v>0.03</v>
      </c>
      <c r="C11" s="390">
        <v>0.1</v>
      </c>
      <c r="D11" s="390">
        <v>0.08</v>
      </c>
      <c r="E11" s="390">
        <v>0.2</v>
      </c>
    </row>
    <row r="12" spans="1:9" x14ac:dyDescent="0.25">
      <c r="E12" s="40" t="s">
        <v>345</v>
      </c>
    </row>
    <row r="17" spans="1:10" x14ac:dyDescent="0.25">
      <c r="A17" s="984" t="s">
        <v>1386</v>
      </c>
      <c r="B17" s="984"/>
      <c r="C17" s="984"/>
      <c r="D17" s="984"/>
      <c r="E17" s="984"/>
      <c r="F17" s="393"/>
      <c r="G17" s="393"/>
      <c r="H17" s="393"/>
      <c r="I17" s="393"/>
      <c r="J17" s="393"/>
    </row>
    <row r="18" spans="1:10" s="390" customFormat="1" x14ac:dyDescent="0.25">
      <c r="A18" s="983" t="s">
        <v>1602</v>
      </c>
      <c r="B18" s="983" t="s">
        <v>1603</v>
      </c>
      <c r="C18" s="983"/>
      <c r="D18" s="983"/>
      <c r="E18" s="983"/>
    </row>
    <row r="19" spans="1:10" x14ac:dyDescent="0.25">
      <c r="B19" s="40" t="s">
        <v>1387</v>
      </c>
      <c r="C19" s="40" t="s">
        <v>1388</v>
      </c>
      <c r="D19" s="40" t="s">
        <v>1389</v>
      </c>
      <c r="E19" s="40" t="s">
        <v>1390</v>
      </c>
      <c r="F19" s="40" t="s">
        <v>1391</v>
      </c>
      <c r="G19" s="40" t="s">
        <v>1392</v>
      </c>
      <c r="H19" s="40" t="s">
        <v>1393</v>
      </c>
      <c r="I19" s="40" t="s">
        <v>1394</v>
      </c>
      <c r="J19" s="40" t="s">
        <v>1395</v>
      </c>
    </row>
    <row r="20" spans="1:10" x14ac:dyDescent="0.25">
      <c r="A20" s="40" t="s">
        <v>1396</v>
      </c>
      <c r="B20" s="637">
        <v>0.36121274942307696</v>
      </c>
      <c r="C20" s="637">
        <v>0.30592354102564095</v>
      </c>
      <c r="D20" s="637">
        <v>0.67528543278656683</v>
      </c>
      <c r="E20" s="637">
        <v>0.82361490319230757</v>
      </c>
      <c r="F20" s="637">
        <v>0.97805000973333323</v>
      </c>
      <c r="G20" s="637">
        <v>1.132485116274359</v>
      </c>
      <c r="H20" s="637">
        <v>1.2869202228153847</v>
      </c>
      <c r="I20" s="637">
        <v>1.595790435897436</v>
      </c>
      <c r="J20" s="637">
        <v>2.019641665384615</v>
      </c>
    </row>
    <row r="21" spans="1:10" x14ac:dyDescent="0.25">
      <c r="A21" s="40" t="s">
        <v>1397</v>
      </c>
      <c r="B21" s="637">
        <v>-0.1737013780769231</v>
      </c>
      <c r="C21" s="637">
        <v>-0.37309910192307694</v>
      </c>
      <c r="D21" s="637">
        <v>0.1375422969220918</v>
      </c>
      <c r="E21" s="637">
        <v>0.1703570353461539</v>
      </c>
      <c r="F21" s="637">
        <v>0.34406908712307693</v>
      </c>
      <c r="G21" s="637">
        <v>0.51778113889999999</v>
      </c>
      <c r="H21" s="637">
        <v>0.69149319067692305</v>
      </c>
      <c r="I21" s="637">
        <v>1.038917294230769</v>
      </c>
      <c r="J21" s="637">
        <v>1.2083915711538462</v>
      </c>
    </row>
    <row r="22" spans="1:10" x14ac:dyDescent="0.25">
      <c r="A22" s="40" t="s">
        <v>1398</v>
      </c>
      <c r="B22" s="637">
        <v>-0.41297861735849045</v>
      </c>
      <c r="C22" s="637">
        <v>-0.53001162264150947</v>
      </c>
      <c r="D22" s="637">
        <v>-0.13489783746981129</v>
      </c>
      <c r="E22" s="637">
        <v>-8.6190662452830191E-2</v>
      </c>
      <c r="F22" s="637">
        <v>0.10463336796226413</v>
      </c>
      <c r="G22" s="637">
        <v>0.29545739837735846</v>
      </c>
      <c r="H22" s="637">
        <v>0.48628142879245279</v>
      </c>
      <c r="I22" s="637">
        <v>0.86792948962264149</v>
      </c>
      <c r="J22" s="637">
        <v>0.95917098867924522</v>
      </c>
    </row>
    <row r="23" spans="1:10" x14ac:dyDescent="0.25">
      <c r="A23" s="40" t="s">
        <v>1399</v>
      </c>
      <c r="B23" s="637">
        <v>0.28709043797320483</v>
      </c>
      <c r="C23" s="637">
        <v>0.25410256410256399</v>
      </c>
      <c r="D23" s="637">
        <v>0.5805769230769231</v>
      </c>
      <c r="E23" s="637">
        <v>0.76196153846153869</v>
      </c>
      <c r="F23" s="637">
        <v>0.90682051282051301</v>
      </c>
      <c r="G23" s="637">
        <v>1.0516794871794872</v>
      </c>
      <c r="H23" s="637">
        <v>1.1965384615384616</v>
      </c>
      <c r="I23" s="637">
        <v>1.4862564102564102</v>
      </c>
      <c r="J23" s="637">
        <v>1.9292499999999999</v>
      </c>
    </row>
    <row r="24" spans="1:10" x14ac:dyDescent="0.25">
      <c r="A24" s="40" t="s">
        <v>1400</v>
      </c>
      <c r="B24" s="637">
        <v>-3.3461538461538468E-3</v>
      </c>
      <c r="C24" s="637">
        <v>9.8461538461538465E-3</v>
      </c>
      <c r="D24" s="637">
        <v>6.0634615384615377E-2</v>
      </c>
      <c r="E24" s="637">
        <v>0.14878846153846154</v>
      </c>
      <c r="F24" s="637">
        <v>0.25997307692307697</v>
      </c>
      <c r="G24" s="637">
        <v>0.37115769230769241</v>
      </c>
      <c r="H24" s="637">
        <v>0.48234230769230785</v>
      </c>
      <c r="I24" s="637">
        <v>0.70471153846153867</v>
      </c>
      <c r="J24" s="637">
        <v>0.80849999999999989</v>
      </c>
    </row>
    <row r="25" spans="1:10" x14ac:dyDescent="0.25">
      <c r="A25" s="40" t="s">
        <v>1401</v>
      </c>
      <c r="B25" s="637">
        <v>-0.26203773584905665</v>
      </c>
      <c r="C25" s="637">
        <v>-0.27516981132075469</v>
      </c>
      <c r="D25" s="637">
        <v>-0.29533962264150937</v>
      </c>
      <c r="E25" s="637">
        <v>-0.24794339622641509</v>
      </c>
      <c r="F25" s="637">
        <v>-0.14860377358490565</v>
      </c>
      <c r="G25" s="637">
        <v>-4.9264150943396201E-2</v>
      </c>
      <c r="H25" s="637">
        <v>0.255</v>
      </c>
      <c r="I25" s="637">
        <v>0.24875471698113213</v>
      </c>
      <c r="J25" s="637">
        <v>0.55245283018867919</v>
      </c>
    </row>
  </sheetData>
  <mergeCells count="4">
    <mergeCell ref="A3:E3"/>
    <mergeCell ref="A8:E8"/>
    <mergeCell ref="A17:E17"/>
    <mergeCell ref="A18:E18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9"/>
  <dimension ref="A4:I21"/>
  <sheetViews>
    <sheetView showGridLines="0" zoomScale="85" zoomScaleNormal="85" workbookViewId="0">
      <selection activeCell="E19" sqref="E19"/>
    </sheetView>
  </sheetViews>
  <sheetFormatPr defaultRowHeight="13.5" x14ac:dyDescent="0.25"/>
  <cols>
    <col min="1" max="1" width="9.140625" style="40"/>
    <col min="2" max="2" width="10.7109375" style="40" customWidth="1"/>
    <col min="3" max="4" width="9.140625" style="40"/>
    <col min="5" max="5" width="12.42578125" style="40" customWidth="1"/>
    <col min="6" max="8" width="9.140625" style="40"/>
    <col min="9" max="9" width="10.85546875" style="40" customWidth="1"/>
    <col min="10" max="16384" width="9.140625" style="40"/>
  </cols>
  <sheetData>
    <row r="4" spans="1:9" ht="14.25" thickBot="1" x14ac:dyDescent="0.3">
      <c r="A4" s="896" t="s">
        <v>1083</v>
      </c>
      <c r="B4" s="896"/>
      <c r="C4" s="896"/>
      <c r="D4" s="896"/>
      <c r="E4" s="896"/>
      <c r="F4" s="896"/>
      <c r="G4" s="896"/>
      <c r="H4" s="896"/>
      <c r="I4" s="896"/>
    </row>
    <row r="5" spans="1:9" ht="14.25" thickBot="1" x14ac:dyDescent="0.3">
      <c r="A5" s="980" t="s">
        <v>105</v>
      </c>
      <c r="B5" s="980"/>
      <c r="C5" s="980"/>
      <c r="D5" s="980"/>
      <c r="E5" s="980"/>
      <c r="F5" s="980"/>
      <c r="G5" s="980"/>
      <c r="H5" s="980"/>
      <c r="I5" s="980"/>
    </row>
    <row r="6" spans="1:9" x14ac:dyDescent="0.25">
      <c r="A6" s="981"/>
      <c r="B6" s="941" t="s">
        <v>106</v>
      </c>
      <c r="C6" s="941" t="s">
        <v>107</v>
      </c>
      <c r="D6" s="941" t="s">
        <v>108</v>
      </c>
      <c r="E6" s="941" t="s">
        <v>109</v>
      </c>
      <c r="F6" s="941" t="s">
        <v>110</v>
      </c>
      <c r="G6" s="941" t="s">
        <v>297</v>
      </c>
      <c r="H6" s="15" t="s">
        <v>162</v>
      </c>
      <c r="I6" s="10" t="s">
        <v>298</v>
      </c>
    </row>
    <row r="7" spans="1:9" ht="14.25" thickBot="1" x14ac:dyDescent="0.3">
      <c r="A7" s="982"/>
      <c r="B7" s="979"/>
      <c r="C7" s="979"/>
      <c r="D7" s="979"/>
      <c r="E7" s="979"/>
      <c r="F7" s="979"/>
      <c r="G7" s="979"/>
      <c r="H7" s="149" t="s">
        <v>111</v>
      </c>
      <c r="I7" s="27" t="s">
        <v>111</v>
      </c>
    </row>
    <row r="8" spans="1:9" ht="14.25" thickTop="1" x14ac:dyDescent="0.25">
      <c r="A8" s="110">
        <v>2017</v>
      </c>
      <c r="B8" s="148">
        <v>6.7225143026439227E-2</v>
      </c>
      <c r="C8" s="148">
        <v>1.0241520646816493</v>
      </c>
      <c r="D8" s="148">
        <v>0.13723117079571523</v>
      </c>
      <c r="E8" s="148">
        <v>-4.3703748026149847E-2</v>
      </c>
      <c r="F8" s="148">
        <v>1.3150294025665588E-2</v>
      </c>
      <c r="G8" s="148">
        <v>-0.13720676194675374</v>
      </c>
      <c r="H8" s="148">
        <v>1.969660124668807E-2</v>
      </c>
      <c r="I8" s="153">
        <v>-5.8278277870329021E-2</v>
      </c>
    </row>
    <row r="9" spans="1:9" x14ac:dyDescent="0.25">
      <c r="A9" s="110">
        <v>2018</v>
      </c>
      <c r="B9" s="148">
        <v>0.12834434818500551</v>
      </c>
      <c r="C9" s="148">
        <v>2.015827924893876</v>
      </c>
      <c r="D9" s="148">
        <v>0.26121691924301249</v>
      </c>
      <c r="E9" s="148">
        <v>-8.8234152567964741E-2</v>
      </c>
      <c r="F9" s="148">
        <v>7.1789354718343468E-2</v>
      </c>
      <c r="G9" s="148">
        <v>-0.27533789050742385</v>
      </c>
      <c r="H9" s="148">
        <v>6.0121237508634531E-2</v>
      </c>
      <c r="I9" s="153">
        <v>-0.18993742187145557</v>
      </c>
    </row>
    <row r="10" spans="1:9" x14ac:dyDescent="0.25">
      <c r="A10" s="110">
        <v>2019</v>
      </c>
      <c r="B10" s="148">
        <v>0.17016130863323209</v>
      </c>
      <c r="C10" s="148">
        <v>3.0009508166168652</v>
      </c>
      <c r="D10" s="148">
        <v>0.37054496821247174</v>
      </c>
      <c r="E10" s="148">
        <v>-0.12718383014754808</v>
      </c>
      <c r="F10" s="148">
        <v>0.16631482966740219</v>
      </c>
      <c r="G10" s="148">
        <v>-0.41881839046398334</v>
      </c>
      <c r="H10" s="148">
        <v>8.9723342442331849E-2</v>
      </c>
      <c r="I10" s="153">
        <v>-0.34489025760767333</v>
      </c>
    </row>
    <row r="11" spans="1:9" ht="14.25" thickBot="1" x14ac:dyDescent="0.3">
      <c r="A11" s="110">
        <v>2020</v>
      </c>
      <c r="B11" s="148">
        <v>0.21741552449989765</v>
      </c>
      <c r="C11" s="148">
        <v>3.9916422041119448</v>
      </c>
      <c r="D11" s="148">
        <v>0.47754040219696314</v>
      </c>
      <c r="E11" s="148">
        <v>-0.16119009065611867</v>
      </c>
      <c r="F11" s="148">
        <v>0.2777295860925344</v>
      </c>
      <c r="G11" s="148">
        <v>-0.57474621479089993</v>
      </c>
      <c r="H11" s="148">
        <v>0.1310192391085645</v>
      </c>
      <c r="I11" s="153">
        <v>-0.53698553730966125</v>
      </c>
    </row>
    <row r="12" spans="1:9" ht="14.25" thickTop="1" x14ac:dyDescent="0.25">
      <c r="A12" s="986" t="s">
        <v>300</v>
      </c>
      <c r="B12" s="986"/>
      <c r="C12" s="986"/>
      <c r="D12" s="986"/>
      <c r="E12" s="986"/>
      <c r="F12" s="986"/>
      <c r="G12" s="986"/>
      <c r="H12" s="986"/>
      <c r="I12" s="633" t="s">
        <v>21</v>
      </c>
    </row>
    <row r="13" spans="1:9" ht="15.75" customHeight="1" thickBot="1" x14ac:dyDescent="0.3">
      <c r="A13" s="897" t="s">
        <v>1084</v>
      </c>
      <c r="B13" s="896"/>
      <c r="C13" s="896"/>
      <c r="D13" s="896"/>
      <c r="E13" s="896"/>
      <c r="F13" s="896"/>
      <c r="G13" s="896"/>
      <c r="H13" s="896"/>
      <c r="I13" s="896"/>
    </row>
    <row r="14" spans="1:9" ht="14.25" thickBot="1" x14ac:dyDescent="0.3">
      <c r="A14" s="973" t="s">
        <v>337</v>
      </c>
      <c r="B14" s="973"/>
      <c r="C14" s="973"/>
      <c r="D14" s="973"/>
      <c r="E14" s="973"/>
      <c r="F14" s="973"/>
      <c r="G14" s="973"/>
      <c r="H14" s="973"/>
      <c r="I14" s="973"/>
    </row>
    <row r="15" spans="1:9" x14ac:dyDescent="0.25">
      <c r="A15" s="974"/>
      <c r="B15" s="914" t="s">
        <v>338</v>
      </c>
      <c r="C15" s="914" t="s">
        <v>339</v>
      </c>
      <c r="D15" s="911" t="s">
        <v>340</v>
      </c>
      <c r="E15" s="914" t="s">
        <v>341</v>
      </c>
      <c r="F15" s="911" t="s">
        <v>110</v>
      </c>
      <c r="G15" s="941" t="s">
        <v>342</v>
      </c>
      <c r="H15" s="941" t="s">
        <v>343</v>
      </c>
      <c r="I15" s="941" t="s">
        <v>344</v>
      </c>
    </row>
    <row r="16" spans="1:9" ht="41.25" customHeight="1" thickBot="1" x14ac:dyDescent="0.3">
      <c r="A16" s="975"/>
      <c r="B16" s="977"/>
      <c r="C16" s="977"/>
      <c r="D16" s="977"/>
      <c r="E16" s="977"/>
      <c r="F16" s="977"/>
      <c r="G16" s="976"/>
      <c r="H16" s="976"/>
      <c r="I16" s="976"/>
    </row>
    <row r="17" spans="1:9" ht="14.25" thickTop="1" x14ac:dyDescent="0.25">
      <c r="A17" s="150">
        <f>A8</f>
        <v>2017</v>
      </c>
      <c r="B17" s="148">
        <f t="shared" ref="B17:I17" si="0">B8</f>
        <v>6.7225143026439227E-2</v>
      </c>
      <c r="C17" s="148">
        <f t="shared" si="0"/>
        <v>1.0241520646816493</v>
      </c>
      <c r="D17" s="148">
        <f t="shared" si="0"/>
        <v>0.13723117079571523</v>
      </c>
      <c r="E17" s="148">
        <f t="shared" si="0"/>
        <v>-4.3703748026149847E-2</v>
      </c>
      <c r="F17" s="148">
        <f t="shared" si="0"/>
        <v>1.3150294025665588E-2</v>
      </c>
      <c r="G17" s="148">
        <f t="shared" si="0"/>
        <v>-0.13720676194675374</v>
      </c>
      <c r="H17" s="148">
        <f t="shared" si="0"/>
        <v>1.969660124668807E-2</v>
      </c>
      <c r="I17" s="148">
        <f t="shared" si="0"/>
        <v>-5.8278277870329021E-2</v>
      </c>
    </row>
    <row r="18" spans="1:9" x14ac:dyDescent="0.25">
      <c r="A18" s="150">
        <f t="shared" ref="A18:I18" si="1">A9</f>
        <v>2018</v>
      </c>
      <c r="B18" s="148">
        <f t="shared" si="1"/>
        <v>0.12834434818500551</v>
      </c>
      <c r="C18" s="148">
        <f t="shared" si="1"/>
        <v>2.015827924893876</v>
      </c>
      <c r="D18" s="148">
        <f t="shared" si="1"/>
        <v>0.26121691924301249</v>
      </c>
      <c r="E18" s="148">
        <f t="shared" si="1"/>
        <v>-8.8234152567964741E-2</v>
      </c>
      <c r="F18" s="148">
        <f t="shared" si="1"/>
        <v>7.1789354718343468E-2</v>
      </c>
      <c r="G18" s="148">
        <f t="shared" si="1"/>
        <v>-0.27533789050742385</v>
      </c>
      <c r="H18" s="148">
        <f t="shared" si="1"/>
        <v>6.0121237508634531E-2</v>
      </c>
      <c r="I18" s="148">
        <f t="shared" si="1"/>
        <v>-0.18993742187145557</v>
      </c>
    </row>
    <row r="19" spans="1:9" x14ac:dyDescent="0.25">
      <c r="A19" s="150">
        <f t="shared" ref="A19:I19" si="2">A10</f>
        <v>2019</v>
      </c>
      <c r="B19" s="148">
        <f t="shared" si="2"/>
        <v>0.17016130863323209</v>
      </c>
      <c r="C19" s="148">
        <f t="shared" si="2"/>
        <v>3.0009508166168652</v>
      </c>
      <c r="D19" s="148">
        <f t="shared" si="2"/>
        <v>0.37054496821247174</v>
      </c>
      <c r="E19" s="148">
        <f t="shared" si="2"/>
        <v>-0.12718383014754808</v>
      </c>
      <c r="F19" s="148">
        <f t="shared" si="2"/>
        <v>0.16631482966740219</v>
      </c>
      <c r="G19" s="148">
        <f t="shared" si="2"/>
        <v>-0.41881839046398334</v>
      </c>
      <c r="H19" s="148">
        <f t="shared" si="2"/>
        <v>8.9723342442331849E-2</v>
      </c>
      <c r="I19" s="148">
        <f t="shared" si="2"/>
        <v>-0.34489025760767333</v>
      </c>
    </row>
    <row r="20" spans="1:9" ht="14.25" thickBot="1" x14ac:dyDescent="0.3">
      <c r="A20" s="150">
        <f t="shared" ref="A20:I20" si="3">A11</f>
        <v>2020</v>
      </c>
      <c r="B20" s="148">
        <f t="shared" si="3"/>
        <v>0.21741552449989765</v>
      </c>
      <c r="C20" s="148">
        <f t="shared" si="3"/>
        <v>3.9916422041119448</v>
      </c>
      <c r="D20" s="148">
        <f t="shared" si="3"/>
        <v>0.47754040219696314</v>
      </c>
      <c r="E20" s="148">
        <f t="shared" si="3"/>
        <v>-0.16119009065611867</v>
      </c>
      <c r="F20" s="148">
        <f t="shared" si="3"/>
        <v>0.2777295860925344</v>
      </c>
      <c r="G20" s="148">
        <f t="shared" si="3"/>
        <v>-0.57474621479089993</v>
      </c>
      <c r="H20" s="148">
        <f t="shared" si="3"/>
        <v>0.1310192391085645</v>
      </c>
      <c r="I20" s="148">
        <f t="shared" si="3"/>
        <v>-0.53698553730966125</v>
      </c>
    </row>
    <row r="21" spans="1:9" ht="14.25" thickTop="1" x14ac:dyDescent="0.25">
      <c r="A21" s="985" t="s">
        <v>345</v>
      </c>
      <c r="B21" s="985"/>
      <c r="C21" s="985"/>
      <c r="D21" s="985"/>
      <c r="E21" s="985"/>
      <c r="F21" s="985"/>
      <c r="G21" s="985"/>
      <c r="H21" s="985"/>
      <c r="I21" s="985"/>
    </row>
  </sheetData>
  <mergeCells count="22">
    <mergeCell ref="A12:H12"/>
    <mergeCell ref="A4:I4"/>
    <mergeCell ref="A5:I5"/>
    <mergeCell ref="A6:A7"/>
    <mergeCell ref="B6:B7"/>
    <mergeCell ref="C6:C7"/>
    <mergeCell ref="D6:D7"/>
    <mergeCell ref="E6:E7"/>
    <mergeCell ref="F6:F7"/>
    <mergeCell ref="G6:G7"/>
    <mergeCell ref="A21:I21"/>
    <mergeCell ref="A13:I13"/>
    <mergeCell ref="A14: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/>
  <dimension ref="A4:G34"/>
  <sheetViews>
    <sheetView showGridLines="0" zoomScale="85" zoomScaleNormal="85" workbookViewId="0">
      <selection activeCell="E26" sqref="E26"/>
    </sheetView>
  </sheetViews>
  <sheetFormatPr defaultRowHeight="13.5" x14ac:dyDescent="0.25"/>
  <cols>
    <col min="1" max="1" width="29.7109375" style="40" customWidth="1"/>
    <col min="2" max="16384" width="9.140625" style="40"/>
  </cols>
  <sheetData>
    <row r="4" spans="1:7" ht="14.25" thickBot="1" x14ac:dyDescent="0.3">
      <c r="A4" s="896" t="s">
        <v>1085</v>
      </c>
      <c r="B4" s="896"/>
      <c r="C4" s="896"/>
      <c r="D4" s="896"/>
      <c r="E4" s="896"/>
      <c r="F4" s="896"/>
      <c r="G4" s="896"/>
    </row>
    <row r="5" spans="1:7" ht="14.25" thickBot="1" x14ac:dyDescent="0.3">
      <c r="A5" s="28"/>
      <c r="B5" s="28" t="s">
        <v>112</v>
      </c>
      <c r="C5" s="459">
        <v>2016</v>
      </c>
      <c r="D5" s="459">
        <v>2017</v>
      </c>
      <c r="E5" s="459">
        <v>2018</v>
      </c>
      <c r="F5" s="459">
        <v>2019</v>
      </c>
      <c r="G5" s="459">
        <v>2020</v>
      </c>
    </row>
    <row r="6" spans="1:7" x14ac:dyDescent="0.25">
      <c r="A6" s="1" t="s">
        <v>43</v>
      </c>
      <c r="B6" s="29"/>
      <c r="C6" s="29"/>
      <c r="D6" s="29"/>
      <c r="E6" s="29"/>
      <c r="F6" s="4"/>
      <c r="G6" s="4"/>
    </row>
    <row r="7" spans="1:7" x14ac:dyDescent="0.25">
      <c r="A7" s="98" t="s">
        <v>113</v>
      </c>
      <c r="B7" s="17"/>
      <c r="C7" s="110">
        <v>3.2</v>
      </c>
      <c r="D7" s="110">
        <v>3.6</v>
      </c>
      <c r="E7" s="110">
        <v>4.0999999999999996</v>
      </c>
      <c r="F7" s="110">
        <v>4.5999999999999996</v>
      </c>
      <c r="G7" s="110" t="s">
        <v>16</v>
      </c>
    </row>
    <row r="8" spans="1:7" x14ac:dyDescent="0.25">
      <c r="A8" s="98" t="s">
        <v>114</v>
      </c>
      <c r="B8" s="6"/>
      <c r="C8" s="151">
        <v>3.28514971591345</v>
      </c>
      <c r="D8" s="152">
        <v>3.3239061454537921</v>
      </c>
      <c r="E8" s="152">
        <v>4.0176235420772866</v>
      </c>
      <c r="F8" s="152">
        <v>4.3569270546844452</v>
      </c>
      <c r="G8" s="152">
        <v>3.8101260350668964</v>
      </c>
    </row>
    <row r="9" spans="1:7" ht="14.25" thickBot="1" x14ac:dyDescent="0.3">
      <c r="A9" s="98" t="s">
        <v>115</v>
      </c>
      <c r="B9" s="17"/>
      <c r="C9" s="153">
        <v>8.5149715913449775E-2</v>
      </c>
      <c r="D9" s="153">
        <v>-0.27609385454620794</v>
      </c>
      <c r="E9" s="153">
        <v>-8.2376457922713087E-2</v>
      </c>
      <c r="F9" s="153">
        <v>-0.24307294531555446</v>
      </c>
      <c r="G9" s="179" t="s">
        <v>16</v>
      </c>
    </row>
    <row r="10" spans="1:7" x14ac:dyDescent="0.25">
      <c r="A10" s="154" t="s">
        <v>116</v>
      </c>
      <c r="B10" s="155" t="s">
        <v>117</v>
      </c>
      <c r="C10" s="155"/>
      <c r="D10" s="155"/>
      <c r="E10" s="155"/>
      <c r="F10" s="225"/>
      <c r="G10" s="225"/>
    </row>
    <row r="11" spans="1:7" x14ac:dyDescent="0.25">
      <c r="A11" s="156" t="s">
        <v>113</v>
      </c>
      <c r="B11" s="628"/>
      <c r="C11" s="145">
        <v>-2.13</v>
      </c>
      <c r="D11" s="145">
        <v>-1.29</v>
      </c>
      <c r="E11" s="145">
        <v>-0.44</v>
      </c>
      <c r="F11" s="145">
        <v>0.16</v>
      </c>
      <c r="G11" s="145" t="s">
        <v>16</v>
      </c>
    </row>
    <row r="12" spans="1:7" x14ac:dyDescent="0.25">
      <c r="A12" s="156" t="s">
        <v>114</v>
      </c>
      <c r="B12" s="628"/>
      <c r="C12" s="145">
        <v>-1.68</v>
      </c>
      <c r="D12" s="145">
        <v>-1.24</v>
      </c>
      <c r="E12" s="228">
        <v>-0.5</v>
      </c>
      <c r="F12" s="228">
        <v>0</v>
      </c>
      <c r="G12" s="228">
        <v>0</v>
      </c>
    </row>
    <row r="13" spans="1:7" ht="14.25" thickBot="1" x14ac:dyDescent="0.3">
      <c r="A13" s="157" t="s">
        <v>115</v>
      </c>
      <c r="B13" s="158"/>
      <c r="C13" s="158">
        <f>C12-C11</f>
        <v>0.44999999999999996</v>
      </c>
      <c r="D13" s="158">
        <f t="shared" ref="D13:F13" si="0">D12-D11</f>
        <v>5.0000000000000044E-2</v>
      </c>
      <c r="E13" s="158">
        <f t="shared" si="0"/>
        <v>-0.06</v>
      </c>
      <c r="F13" s="158">
        <f t="shared" si="0"/>
        <v>-0.16</v>
      </c>
      <c r="G13" s="158" t="s">
        <v>834</v>
      </c>
    </row>
    <row r="14" spans="1:7" x14ac:dyDescent="0.25">
      <c r="A14" s="159" t="s">
        <v>118</v>
      </c>
      <c r="B14" s="160"/>
      <c r="C14" s="160"/>
      <c r="D14" s="160"/>
      <c r="E14" s="160"/>
      <c r="F14" s="145"/>
      <c r="G14" s="145"/>
    </row>
    <row r="15" spans="1:7" x14ac:dyDescent="0.25">
      <c r="A15" s="156" t="s">
        <v>113</v>
      </c>
      <c r="B15" s="145"/>
      <c r="C15" s="145">
        <v>52.9</v>
      </c>
      <c r="D15" s="145">
        <v>52.2</v>
      </c>
      <c r="E15" s="145">
        <v>49.8</v>
      </c>
      <c r="F15" s="145">
        <v>47.8</v>
      </c>
      <c r="G15" s="145" t="s">
        <v>16</v>
      </c>
    </row>
    <row r="16" spans="1:7" x14ac:dyDescent="0.25">
      <c r="A16" s="156" t="s">
        <v>114</v>
      </c>
      <c r="B16" s="145"/>
      <c r="C16" s="226">
        <f>'Tab 20 '!C6</f>
        <v>51.944515578719063</v>
      </c>
      <c r="D16" s="226">
        <f>'Tab 20 '!D6</f>
        <v>51.753576813312797</v>
      </c>
      <c r="E16" s="226">
        <f>'Tab 20 '!E6</f>
        <v>49.936921613254334</v>
      </c>
      <c r="F16" s="226">
        <f>'Tab 20 '!F6</f>
        <v>47.993310076994348</v>
      </c>
      <c r="G16" s="226">
        <f>'Tab 20 '!G6</f>
        <v>45.978313115681118</v>
      </c>
    </row>
    <row r="17" spans="1:7" ht="14.25" thickBot="1" x14ac:dyDescent="0.3">
      <c r="A17" s="157" t="s">
        <v>115</v>
      </c>
      <c r="B17" s="629"/>
      <c r="C17" s="227">
        <f>C16-C15</f>
        <v>-0.95548442128093569</v>
      </c>
      <c r="D17" s="227">
        <f t="shared" ref="D17" si="1">D16-D15</f>
        <v>-0.44642318668720549</v>
      </c>
      <c r="E17" s="227">
        <f t="shared" ref="E17" si="2">E16-E15</f>
        <v>0.13692161325433716</v>
      </c>
      <c r="F17" s="227">
        <f t="shared" ref="F17" si="3">F16-F15</f>
        <v>0.19331007699435077</v>
      </c>
      <c r="G17" s="227" t="s">
        <v>834</v>
      </c>
    </row>
    <row r="18" spans="1:7" x14ac:dyDescent="0.25">
      <c r="A18" s="630" t="s">
        <v>669</v>
      </c>
      <c r="B18" s="19"/>
      <c r="C18" s="19"/>
      <c r="D18" s="19"/>
      <c r="E18" s="19"/>
      <c r="F18" s="955" t="s">
        <v>21</v>
      </c>
      <c r="G18" s="955"/>
    </row>
    <row r="20" spans="1:7" ht="14.25" thickBot="1" x14ac:dyDescent="0.3">
      <c r="A20" s="896" t="s">
        <v>1086</v>
      </c>
      <c r="B20" s="896"/>
      <c r="C20" s="896"/>
      <c r="D20" s="896"/>
      <c r="E20" s="896"/>
      <c r="F20" s="896"/>
      <c r="G20" s="896"/>
    </row>
    <row r="21" spans="1:7" ht="14.25" thickBot="1" x14ac:dyDescent="0.3">
      <c r="A21" s="28"/>
      <c r="B21" s="28" t="s">
        <v>112</v>
      </c>
      <c r="C21" s="459">
        <f>C5</f>
        <v>2016</v>
      </c>
      <c r="D21" s="459">
        <f t="shared" ref="D21:G21" si="4">D5</f>
        <v>2017</v>
      </c>
      <c r="E21" s="459">
        <f t="shared" si="4"/>
        <v>2018</v>
      </c>
      <c r="F21" s="459">
        <f t="shared" si="4"/>
        <v>2019</v>
      </c>
      <c r="G21" s="459">
        <f t="shared" si="4"/>
        <v>2020</v>
      </c>
    </row>
    <row r="22" spans="1:7" x14ac:dyDescent="0.25">
      <c r="A22" s="1" t="s">
        <v>346</v>
      </c>
      <c r="B22" s="29"/>
      <c r="C22" s="29"/>
      <c r="D22" s="29"/>
      <c r="E22" s="29"/>
      <c r="F22" s="4"/>
      <c r="G22" s="4"/>
    </row>
    <row r="23" spans="1:7" x14ac:dyDescent="0.25">
      <c r="A23" s="98" t="s">
        <v>347</v>
      </c>
      <c r="B23" s="17"/>
      <c r="C23" s="110">
        <f t="shared" ref="C23:G23" si="5">C7</f>
        <v>3.2</v>
      </c>
      <c r="D23" s="110">
        <f t="shared" si="5"/>
        <v>3.6</v>
      </c>
      <c r="E23" s="110">
        <f t="shared" si="5"/>
        <v>4.0999999999999996</v>
      </c>
      <c r="F23" s="110">
        <f t="shared" si="5"/>
        <v>4.5999999999999996</v>
      </c>
      <c r="G23" s="110" t="str">
        <f t="shared" si="5"/>
        <v>-</v>
      </c>
    </row>
    <row r="24" spans="1:7" x14ac:dyDescent="0.25">
      <c r="A24" s="98" t="s">
        <v>348</v>
      </c>
      <c r="B24" s="6"/>
      <c r="C24" s="151">
        <f t="shared" ref="C24:G24" si="6">C8</f>
        <v>3.28514971591345</v>
      </c>
      <c r="D24" s="152">
        <f t="shared" si="6"/>
        <v>3.3239061454537921</v>
      </c>
      <c r="E24" s="152">
        <f t="shared" si="6"/>
        <v>4.0176235420772866</v>
      </c>
      <c r="F24" s="152">
        <f t="shared" si="6"/>
        <v>4.3569270546844452</v>
      </c>
      <c r="G24" s="152">
        <f t="shared" si="6"/>
        <v>3.8101260350668964</v>
      </c>
    </row>
    <row r="25" spans="1:7" ht="14.25" thickBot="1" x14ac:dyDescent="0.3">
      <c r="A25" s="98" t="s">
        <v>349</v>
      </c>
      <c r="B25" s="17"/>
      <c r="C25" s="153">
        <f t="shared" ref="C25:G25" si="7">C9</f>
        <v>8.5149715913449775E-2</v>
      </c>
      <c r="D25" s="153">
        <f t="shared" si="7"/>
        <v>-0.27609385454620794</v>
      </c>
      <c r="E25" s="153">
        <f t="shared" si="7"/>
        <v>-8.2376457922713087E-2</v>
      </c>
      <c r="F25" s="153">
        <f t="shared" si="7"/>
        <v>-0.24307294531555446</v>
      </c>
      <c r="G25" s="179" t="str">
        <f t="shared" si="7"/>
        <v>-</v>
      </c>
    </row>
    <row r="26" spans="1:7" x14ac:dyDescent="0.25">
      <c r="A26" s="99" t="s">
        <v>351</v>
      </c>
      <c r="B26" s="100" t="s">
        <v>117</v>
      </c>
      <c r="C26" s="155"/>
      <c r="D26" s="155"/>
      <c r="E26" s="155"/>
      <c r="F26" s="225"/>
      <c r="G26" s="225"/>
    </row>
    <row r="27" spans="1:7" x14ac:dyDescent="0.25">
      <c r="A27" s="98" t="s">
        <v>347</v>
      </c>
      <c r="B27" s="6"/>
      <c r="C27" s="145">
        <f t="shared" ref="C27:G27" si="8">C11</f>
        <v>-2.13</v>
      </c>
      <c r="D27" s="145">
        <f t="shared" si="8"/>
        <v>-1.29</v>
      </c>
      <c r="E27" s="145">
        <f t="shared" si="8"/>
        <v>-0.44</v>
      </c>
      <c r="F27" s="145">
        <f t="shared" si="8"/>
        <v>0.16</v>
      </c>
      <c r="G27" s="145" t="str">
        <f t="shared" si="8"/>
        <v>-</v>
      </c>
    </row>
    <row r="28" spans="1:7" x14ac:dyDescent="0.25">
      <c r="A28" s="98" t="s">
        <v>348</v>
      </c>
      <c r="B28" s="6"/>
      <c r="C28" s="145">
        <f t="shared" ref="C28:G28" si="9">C12</f>
        <v>-1.68</v>
      </c>
      <c r="D28" s="145">
        <f t="shared" si="9"/>
        <v>-1.24</v>
      </c>
      <c r="E28" s="228">
        <f t="shared" si="9"/>
        <v>-0.5</v>
      </c>
      <c r="F28" s="228">
        <f t="shared" si="9"/>
        <v>0</v>
      </c>
      <c r="G28" s="228">
        <f t="shared" si="9"/>
        <v>0</v>
      </c>
    </row>
    <row r="29" spans="1:7" ht="14.25" thickBot="1" x14ac:dyDescent="0.3">
      <c r="A29" s="98" t="s">
        <v>349</v>
      </c>
      <c r="B29" s="92"/>
      <c r="C29" s="158">
        <f t="shared" ref="C29:G29" si="10">C13</f>
        <v>0.44999999999999996</v>
      </c>
      <c r="D29" s="158">
        <f t="shared" si="10"/>
        <v>5.0000000000000044E-2</v>
      </c>
      <c r="E29" s="158">
        <f t="shared" si="10"/>
        <v>-0.06</v>
      </c>
      <c r="F29" s="158">
        <f t="shared" si="10"/>
        <v>-0.16</v>
      </c>
      <c r="G29" s="158" t="str">
        <f t="shared" si="10"/>
        <v xml:space="preserve"> -</v>
      </c>
    </row>
    <row r="30" spans="1:7" x14ac:dyDescent="0.25">
      <c r="A30" s="99" t="s">
        <v>350</v>
      </c>
      <c r="B30" s="179"/>
      <c r="C30" s="160"/>
      <c r="D30" s="160"/>
      <c r="E30" s="160"/>
      <c r="F30" s="145"/>
      <c r="G30" s="145"/>
    </row>
    <row r="31" spans="1:7" x14ac:dyDescent="0.25">
      <c r="A31" s="98" t="s">
        <v>347</v>
      </c>
      <c r="B31" s="110"/>
      <c r="C31" s="145">
        <f t="shared" ref="C31:G31" si="11">C15</f>
        <v>52.9</v>
      </c>
      <c r="D31" s="145">
        <f t="shared" si="11"/>
        <v>52.2</v>
      </c>
      <c r="E31" s="145">
        <f t="shared" si="11"/>
        <v>49.8</v>
      </c>
      <c r="F31" s="145">
        <f t="shared" si="11"/>
        <v>47.8</v>
      </c>
      <c r="G31" s="145" t="str">
        <f t="shared" si="11"/>
        <v>-</v>
      </c>
    </row>
    <row r="32" spans="1:7" x14ac:dyDescent="0.25">
      <c r="A32" s="98" t="s">
        <v>348</v>
      </c>
      <c r="B32" s="110"/>
      <c r="C32" s="226">
        <f t="shared" ref="C32:G32" si="12">C16</f>
        <v>51.944515578719063</v>
      </c>
      <c r="D32" s="226">
        <f t="shared" si="12"/>
        <v>51.753576813312797</v>
      </c>
      <c r="E32" s="226">
        <f t="shared" si="12"/>
        <v>49.936921613254334</v>
      </c>
      <c r="F32" s="226">
        <f t="shared" si="12"/>
        <v>47.993310076994348</v>
      </c>
      <c r="G32" s="226">
        <f t="shared" si="12"/>
        <v>45.978313115681118</v>
      </c>
    </row>
    <row r="33" spans="1:7" ht="18" customHeight="1" thickBot="1" x14ac:dyDescent="0.3">
      <c r="A33" s="98" t="s">
        <v>349</v>
      </c>
      <c r="B33" s="631"/>
      <c r="C33" s="227">
        <f t="shared" ref="C33:G33" si="13">C17</f>
        <v>-0.95548442128093569</v>
      </c>
      <c r="D33" s="227">
        <f t="shared" si="13"/>
        <v>-0.44642318668720549</v>
      </c>
      <c r="E33" s="227">
        <f t="shared" si="13"/>
        <v>0.13692161325433716</v>
      </c>
      <c r="F33" s="227">
        <f t="shared" si="13"/>
        <v>0.19331007699435077</v>
      </c>
      <c r="G33" s="227" t="str">
        <f t="shared" si="13"/>
        <v xml:space="preserve"> -</v>
      </c>
    </row>
    <row r="34" spans="1:7" x14ac:dyDescent="0.25">
      <c r="A34" s="632" t="s">
        <v>833</v>
      </c>
      <c r="B34" s="19"/>
      <c r="C34" s="19"/>
      <c r="D34" s="19"/>
      <c r="E34" s="19"/>
      <c r="F34" s="955" t="s">
        <v>345</v>
      </c>
      <c r="G34" s="955"/>
    </row>
  </sheetData>
  <mergeCells count="4">
    <mergeCell ref="A4:G4"/>
    <mergeCell ref="F18:G18"/>
    <mergeCell ref="A20:G20"/>
    <mergeCell ref="F34:G34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/>
  <dimension ref="B3:M40"/>
  <sheetViews>
    <sheetView topLeftCell="A10" zoomScale="85" zoomScaleNormal="85" workbookViewId="0">
      <selection activeCell="H35" sqref="H35"/>
    </sheetView>
  </sheetViews>
  <sheetFormatPr defaultRowHeight="13.5" x14ac:dyDescent="0.25"/>
  <cols>
    <col min="1" max="1" width="9.140625" style="412"/>
    <col min="2" max="2" width="51.140625" style="412" customWidth="1"/>
    <col min="3" max="16384" width="9.140625" style="412"/>
  </cols>
  <sheetData>
    <row r="3" spans="2:9" ht="14.25" thickBot="1" x14ac:dyDescent="0.3">
      <c r="B3" s="465" t="s">
        <v>1195</v>
      </c>
      <c r="C3" s="466"/>
      <c r="D3" s="466"/>
      <c r="E3" s="466"/>
      <c r="F3" s="466"/>
      <c r="G3" s="466"/>
    </row>
    <row r="4" spans="2:9" ht="14.25" thickBot="1" x14ac:dyDescent="0.3">
      <c r="B4" s="467"/>
      <c r="C4" s="468">
        <v>2014</v>
      </c>
      <c r="D4" s="468">
        <v>2015</v>
      </c>
      <c r="E4" s="468">
        <v>2016</v>
      </c>
      <c r="F4" s="468">
        <v>2017</v>
      </c>
      <c r="G4" s="468">
        <v>2018</v>
      </c>
    </row>
    <row r="5" spans="2:9" x14ac:dyDescent="0.25">
      <c r="B5" s="412" t="s">
        <v>1362</v>
      </c>
      <c r="C5" s="469">
        <v>5.911844815000892</v>
      </c>
      <c r="D5" s="469">
        <v>60.142697163486851</v>
      </c>
      <c r="E5" s="469">
        <v>104.50422037125099</v>
      </c>
      <c r="F5" s="469">
        <v>183.56876393500903</v>
      </c>
      <c r="G5" s="469">
        <v>268.7</v>
      </c>
    </row>
    <row r="6" spans="2:9" ht="14.25" thickBot="1" x14ac:dyDescent="0.3">
      <c r="B6" s="467" t="s">
        <v>1192</v>
      </c>
      <c r="C6" s="467">
        <v>0</v>
      </c>
      <c r="D6" s="467">
        <v>0</v>
      </c>
      <c r="E6" s="467">
        <v>0</v>
      </c>
      <c r="F6" s="467">
        <v>29</v>
      </c>
      <c r="G6" s="467">
        <v>29.6</v>
      </c>
    </row>
    <row r="7" spans="2:9" x14ac:dyDescent="0.25">
      <c r="B7" s="470" t="s">
        <v>1193</v>
      </c>
      <c r="C7" s="471">
        <f>SUM(C5:C6)</f>
        <v>5.911844815000892</v>
      </c>
      <c r="D7" s="471">
        <f t="shared" ref="D7:E7" si="0">SUM(D5:D6)</f>
        <v>60.142697163486851</v>
      </c>
      <c r="E7" s="471">
        <f t="shared" si="0"/>
        <v>104.50422037125099</v>
      </c>
      <c r="F7" s="471">
        <f>SUM(F5:F6)</f>
        <v>212.56876393500903</v>
      </c>
      <c r="G7" s="471">
        <v>298.3</v>
      </c>
    </row>
    <row r="8" spans="2:9" ht="14.25" thickBot="1" x14ac:dyDescent="0.3">
      <c r="B8" s="468" t="s">
        <v>1191</v>
      </c>
      <c r="C8" s="472">
        <f>C7</f>
        <v>5.911844815000892</v>
      </c>
      <c r="D8" s="472">
        <f>C7+D7</f>
        <v>66.054541978487748</v>
      </c>
      <c r="E8" s="472">
        <f>E7+D8</f>
        <v>170.55876234973874</v>
      </c>
      <c r="F8" s="472">
        <f>F7+E8</f>
        <v>383.12752628474777</v>
      </c>
      <c r="G8" s="472">
        <v>681.7</v>
      </c>
    </row>
    <row r="11" spans="2:9" ht="14.25" thickBot="1" x14ac:dyDescent="0.3">
      <c r="B11" s="465" t="s">
        <v>1194</v>
      </c>
      <c r="C11" s="466"/>
      <c r="D11" s="466"/>
      <c r="E11" s="466"/>
      <c r="F11" s="466"/>
      <c r="G11" s="466"/>
      <c r="H11" s="466"/>
      <c r="I11" s="466"/>
    </row>
    <row r="12" spans="2:9" ht="14.25" thickBot="1" x14ac:dyDescent="0.3">
      <c r="B12" s="473" t="s">
        <v>122</v>
      </c>
      <c r="C12" s="474">
        <v>2014</v>
      </c>
      <c r="D12" s="474">
        <v>2015</v>
      </c>
      <c r="E12" s="474">
        <v>2016</v>
      </c>
      <c r="F12" s="474">
        <v>2017</v>
      </c>
      <c r="G12" s="474">
        <v>2018</v>
      </c>
      <c r="H12" s="474">
        <v>2019</v>
      </c>
      <c r="I12" s="474">
        <v>2020</v>
      </c>
    </row>
    <row r="13" spans="2:9" x14ac:dyDescent="0.25">
      <c r="B13" s="475" t="s">
        <v>1364</v>
      </c>
      <c r="C13" s="476">
        <v>9.1999999999999993</v>
      </c>
      <c r="D13" s="476">
        <v>9.3000000000000007</v>
      </c>
      <c r="E13" s="476">
        <v>9.5</v>
      </c>
      <c r="F13" s="476">
        <v>9.6</v>
      </c>
      <c r="G13" s="476">
        <v>9.6999999999999993</v>
      </c>
      <c r="H13" s="476">
        <v>9.8000000000000007</v>
      </c>
      <c r="I13" s="476">
        <v>9.9</v>
      </c>
    </row>
    <row r="14" spans="2:9" x14ac:dyDescent="0.25">
      <c r="B14" s="475" t="s">
        <v>1365</v>
      </c>
      <c r="C14" s="476">
        <v>0</v>
      </c>
      <c r="D14" s="476">
        <v>9.1</v>
      </c>
      <c r="E14" s="476">
        <v>22.4</v>
      </c>
      <c r="F14" s="476">
        <v>22.8</v>
      </c>
      <c r="G14" s="476">
        <v>23.3</v>
      </c>
      <c r="H14" s="476">
        <v>23.7</v>
      </c>
      <c r="I14" s="476">
        <v>24.2</v>
      </c>
    </row>
    <row r="15" spans="2:9" x14ac:dyDescent="0.25">
      <c r="B15" s="475" t="s">
        <v>1189</v>
      </c>
      <c r="C15" s="476">
        <v>0</v>
      </c>
      <c r="D15" s="476">
        <v>0</v>
      </c>
      <c r="E15" s="476">
        <v>7.9</v>
      </c>
      <c r="F15" s="476">
        <v>8.6999999999999993</v>
      </c>
      <c r="G15" s="476">
        <v>9.6</v>
      </c>
      <c r="H15" s="476">
        <v>10.5</v>
      </c>
      <c r="I15" s="476">
        <v>11.6</v>
      </c>
    </row>
    <row r="16" spans="2:9" x14ac:dyDescent="0.25">
      <c r="B16" s="477" t="s">
        <v>1190</v>
      </c>
      <c r="C16" s="478">
        <v>0</v>
      </c>
      <c r="D16" s="478">
        <v>0</v>
      </c>
      <c r="E16" s="478">
        <v>2.9</v>
      </c>
      <c r="F16" s="478">
        <v>3.2</v>
      </c>
      <c r="G16" s="478">
        <v>3.5</v>
      </c>
      <c r="H16" s="478">
        <v>3.8</v>
      </c>
      <c r="I16" s="478">
        <v>4.2</v>
      </c>
    </row>
    <row r="17" spans="2:13" x14ac:dyDescent="0.25">
      <c r="B17" s="475" t="s">
        <v>1366</v>
      </c>
      <c r="C17" s="476">
        <v>0</v>
      </c>
      <c r="D17" s="476">
        <v>0</v>
      </c>
      <c r="E17" s="476">
        <v>0</v>
      </c>
      <c r="F17" s="476">
        <v>113.6</v>
      </c>
      <c r="G17" s="476">
        <v>116</v>
      </c>
      <c r="H17" s="476">
        <v>117.9</v>
      </c>
      <c r="I17" s="476">
        <v>120</v>
      </c>
    </row>
    <row r="18" spans="2:13" ht="14.25" thickBot="1" x14ac:dyDescent="0.3">
      <c r="B18" s="479" t="s">
        <v>1367</v>
      </c>
      <c r="C18" s="480">
        <v>0</v>
      </c>
      <c r="D18" s="480">
        <v>0</v>
      </c>
      <c r="E18" s="480">
        <v>0</v>
      </c>
      <c r="F18" s="480">
        <v>0</v>
      </c>
      <c r="G18" s="480">
        <v>50.2</v>
      </c>
      <c r="H18" s="480">
        <v>47.4</v>
      </c>
      <c r="I18" s="480">
        <v>44.8</v>
      </c>
    </row>
    <row r="19" spans="2:13" x14ac:dyDescent="0.25">
      <c r="B19" s="481" t="s">
        <v>54</v>
      </c>
      <c r="C19" s="482">
        <v>9.1999999999999993</v>
      </c>
      <c r="D19" s="482">
        <v>18.399999999999999</v>
      </c>
      <c r="E19" s="482">
        <v>42.6</v>
      </c>
      <c r="F19" s="482">
        <v>157.9</v>
      </c>
      <c r="G19" s="482">
        <v>212.3</v>
      </c>
      <c r="H19" s="482">
        <v>213.2</v>
      </c>
      <c r="I19" s="482">
        <v>214.8</v>
      </c>
    </row>
    <row r="20" spans="2:13" ht="14.25" thickBot="1" x14ac:dyDescent="0.3">
      <c r="B20" s="468" t="s">
        <v>1191</v>
      </c>
      <c r="C20" s="474">
        <v>9.1999999999999993</v>
      </c>
      <c r="D20" s="474">
        <v>27.6</v>
      </c>
      <c r="E20" s="474">
        <v>70.2</v>
      </c>
      <c r="F20" s="474">
        <v>228.2</v>
      </c>
      <c r="G20" s="474">
        <v>440.4</v>
      </c>
      <c r="H20" s="474">
        <v>653.6</v>
      </c>
      <c r="I20" s="474">
        <v>868.4</v>
      </c>
    </row>
    <row r="23" spans="2:13" ht="14.25" thickBot="1" x14ac:dyDescent="0.3">
      <c r="B23" s="465" t="s">
        <v>1196</v>
      </c>
      <c r="C23" s="466"/>
      <c r="D23" s="466"/>
      <c r="E23" s="466"/>
      <c r="F23" s="466"/>
      <c r="G23" s="466"/>
    </row>
    <row r="24" spans="2:13" ht="14.25" thickBot="1" x14ac:dyDescent="0.3">
      <c r="B24" s="467"/>
      <c r="C24" s="468">
        <v>2014</v>
      </c>
      <c r="D24" s="468">
        <v>2015</v>
      </c>
      <c r="E24" s="468">
        <v>2016</v>
      </c>
      <c r="F24" s="468">
        <v>2017</v>
      </c>
      <c r="G24" s="468">
        <v>2018</v>
      </c>
    </row>
    <row r="25" spans="2:13" x14ac:dyDescent="0.25">
      <c r="B25" s="412" t="s">
        <v>1363</v>
      </c>
      <c r="C25" s="469">
        <v>5.911844815000892</v>
      </c>
      <c r="D25" s="469">
        <v>60.142697163486851</v>
      </c>
      <c r="E25" s="469">
        <v>104.50422037125099</v>
      </c>
      <c r="F25" s="469">
        <v>183.56876393500903</v>
      </c>
      <c r="G25" s="469">
        <v>268.7</v>
      </c>
    </row>
    <row r="26" spans="2:13" ht="14.25" thickBot="1" x14ac:dyDescent="0.3">
      <c r="B26" s="467" t="s">
        <v>1197</v>
      </c>
      <c r="C26" s="467">
        <v>0</v>
      </c>
      <c r="D26" s="467">
        <v>0</v>
      </c>
      <c r="E26" s="467">
        <v>0</v>
      </c>
      <c r="F26" s="467">
        <v>29</v>
      </c>
      <c r="G26" s="467">
        <v>29.6</v>
      </c>
    </row>
    <row r="27" spans="2:13" x14ac:dyDescent="0.25">
      <c r="B27" s="470" t="s">
        <v>451</v>
      </c>
      <c r="C27" s="471">
        <v>5.911844815000892</v>
      </c>
      <c r="D27" s="471">
        <v>60.142697163486851</v>
      </c>
      <c r="E27" s="471">
        <v>104.50422037125099</v>
      </c>
      <c r="F27" s="471">
        <v>212.56876393500903</v>
      </c>
      <c r="G27" s="471">
        <v>298.3</v>
      </c>
      <c r="M27" s="412" t="s">
        <v>294</v>
      </c>
    </row>
    <row r="28" spans="2:13" ht="14.25" thickBot="1" x14ac:dyDescent="0.3">
      <c r="B28" s="468" t="s">
        <v>1198</v>
      </c>
      <c r="C28" s="472">
        <v>5.911844815000892</v>
      </c>
      <c r="D28" s="472">
        <v>66.054541978487748</v>
      </c>
      <c r="E28" s="472">
        <v>170.55876234973874</v>
      </c>
      <c r="F28" s="472">
        <v>383.12752628474777</v>
      </c>
      <c r="G28" s="472">
        <v>681.7</v>
      </c>
    </row>
    <row r="31" spans="2:13" ht="14.25" thickBot="1" x14ac:dyDescent="0.3">
      <c r="B31" s="465" t="s">
        <v>1200</v>
      </c>
      <c r="C31" s="466"/>
      <c r="D31" s="466"/>
      <c r="E31" s="466"/>
      <c r="F31" s="466"/>
      <c r="G31" s="466"/>
      <c r="H31" s="466"/>
      <c r="I31" s="466"/>
    </row>
    <row r="32" spans="2:13" ht="14.25" thickBot="1" x14ac:dyDescent="0.3">
      <c r="B32" s="473" t="s">
        <v>1199</v>
      </c>
      <c r="C32" s="474">
        <v>2014</v>
      </c>
      <c r="D32" s="474">
        <v>2015</v>
      </c>
      <c r="E32" s="474">
        <v>2016</v>
      </c>
      <c r="F32" s="474">
        <v>2017</v>
      </c>
      <c r="G32" s="474">
        <v>2018</v>
      </c>
      <c r="H32" s="474">
        <v>2019</v>
      </c>
      <c r="I32" s="474">
        <v>2020</v>
      </c>
    </row>
    <row r="33" spans="2:9" x14ac:dyDescent="0.25">
      <c r="B33" s="475" t="s">
        <v>1201</v>
      </c>
      <c r="C33" s="476">
        <v>9.1999999999999993</v>
      </c>
      <c r="D33" s="476">
        <v>9.3000000000000007</v>
      </c>
      <c r="E33" s="476">
        <v>9.5</v>
      </c>
      <c r="F33" s="476">
        <v>9.6</v>
      </c>
      <c r="G33" s="476">
        <v>9.6999999999999993</v>
      </c>
      <c r="H33" s="476">
        <v>9.8000000000000007</v>
      </c>
      <c r="I33" s="476">
        <v>9.9</v>
      </c>
    </row>
    <row r="34" spans="2:9" x14ac:dyDescent="0.25">
      <c r="B34" s="475" t="s">
        <v>1202</v>
      </c>
      <c r="C34" s="476">
        <v>0</v>
      </c>
      <c r="D34" s="476">
        <v>9.1</v>
      </c>
      <c r="E34" s="476">
        <v>22.4</v>
      </c>
      <c r="F34" s="476">
        <v>22.8</v>
      </c>
      <c r="G34" s="476">
        <v>23.3</v>
      </c>
      <c r="H34" s="476">
        <v>23.7</v>
      </c>
      <c r="I34" s="476">
        <v>24.2</v>
      </c>
    </row>
    <row r="35" spans="2:9" x14ac:dyDescent="0.25">
      <c r="B35" s="475" t="s">
        <v>1203</v>
      </c>
      <c r="C35" s="476">
        <v>0</v>
      </c>
      <c r="D35" s="476">
        <v>0</v>
      </c>
      <c r="E35" s="476">
        <v>7.9</v>
      </c>
      <c r="F35" s="476">
        <v>8.6999999999999993</v>
      </c>
      <c r="G35" s="476">
        <v>9.6</v>
      </c>
      <c r="H35" s="476">
        <v>10.5</v>
      </c>
      <c r="I35" s="476">
        <v>11.6</v>
      </c>
    </row>
    <row r="36" spans="2:9" x14ac:dyDescent="0.25">
      <c r="B36" s="475" t="s">
        <v>1204</v>
      </c>
      <c r="C36" s="478">
        <v>0</v>
      </c>
      <c r="D36" s="478">
        <v>0</v>
      </c>
      <c r="E36" s="478">
        <v>2.9</v>
      </c>
      <c r="F36" s="478">
        <v>3.2</v>
      </c>
      <c r="G36" s="478">
        <v>3.5</v>
      </c>
      <c r="H36" s="478">
        <v>3.8</v>
      </c>
      <c r="I36" s="478">
        <v>4.2</v>
      </c>
    </row>
    <row r="37" spans="2:9" x14ac:dyDescent="0.25">
      <c r="B37" s="475" t="s">
        <v>1205</v>
      </c>
      <c r="C37" s="476">
        <v>0</v>
      </c>
      <c r="D37" s="476">
        <v>0</v>
      </c>
      <c r="E37" s="476">
        <v>0</v>
      </c>
      <c r="F37" s="476">
        <v>113.6</v>
      </c>
      <c r="G37" s="476">
        <v>116</v>
      </c>
      <c r="H37" s="476">
        <v>117.9</v>
      </c>
      <c r="I37" s="476">
        <v>120</v>
      </c>
    </row>
    <row r="38" spans="2:9" ht="14.25" thickBot="1" x14ac:dyDescent="0.3">
      <c r="B38" s="479" t="s">
        <v>1206</v>
      </c>
      <c r="C38" s="480">
        <v>0</v>
      </c>
      <c r="D38" s="480">
        <v>0</v>
      </c>
      <c r="E38" s="480">
        <v>0</v>
      </c>
      <c r="F38" s="480">
        <v>0</v>
      </c>
      <c r="G38" s="480">
        <v>50.2</v>
      </c>
      <c r="H38" s="480">
        <v>47.4</v>
      </c>
      <c r="I38" s="480">
        <v>44.8</v>
      </c>
    </row>
    <row r="39" spans="2:9" x14ac:dyDescent="0.25">
      <c r="B39" s="470" t="s">
        <v>451</v>
      </c>
      <c r="C39" s="482">
        <v>9.1999999999999993</v>
      </c>
      <c r="D39" s="482">
        <v>18.399999999999999</v>
      </c>
      <c r="E39" s="482">
        <v>42.6</v>
      </c>
      <c r="F39" s="482">
        <v>157.9</v>
      </c>
      <c r="G39" s="482">
        <v>212.3</v>
      </c>
      <c r="H39" s="482">
        <v>213.2</v>
      </c>
      <c r="I39" s="482">
        <v>214.8</v>
      </c>
    </row>
    <row r="40" spans="2:9" ht="14.25" thickBot="1" x14ac:dyDescent="0.3">
      <c r="B40" s="468" t="s">
        <v>1198</v>
      </c>
      <c r="C40" s="474">
        <v>9.1999999999999993</v>
      </c>
      <c r="D40" s="474">
        <v>27.6</v>
      </c>
      <c r="E40" s="474">
        <v>70.2</v>
      </c>
      <c r="F40" s="474">
        <v>228.2</v>
      </c>
      <c r="G40" s="474">
        <v>440.4</v>
      </c>
      <c r="H40" s="474">
        <v>653.6</v>
      </c>
      <c r="I40" s="474">
        <v>868.4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9"/>
  <dimension ref="B5:I32"/>
  <sheetViews>
    <sheetView showGridLines="0" zoomScale="85" zoomScaleNormal="85" workbookViewId="0">
      <selection activeCell="J37" sqref="J37"/>
    </sheetView>
  </sheetViews>
  <sheetFormatPr defaultRowHeight="13.5" x14ac:dyDescent="0.25"/>
  <cols>
    <col min="1" max="1" width="9.140625" style="483"/>
    <col min="2" max="2" width="21.28515625" style="483" customWidth="1"/>
    <col min="3" max="3" width="5" style="483" bestFit="1" customWidth="1"/>
    <col min="4" max="8" width="9.140625" style="483"/>
    <col min="9" max="9" width="9.140625" style="625"/>
    <col min="10" max="11" width="14" style="483" customWidth="1"/>
    <col min="12" max="16384" width="9.140625" style="483"/>
  </cols>
  <sheetData>
    <row r="5" spans="2:9" x14ac:dyDescent="0.25">
      <c r="B5" s="622"/>
      <c r="C5" s="622"/>
      <c r="D5" s="623">
        <v>2006</v>
      </c>
      <c r="E5" s="623">
        <v>2009</v>
      </c>
      <c r="F5" s="623">
        <v>2012</v>
      </c>
      <c r="G5" s="623">
        <v>2015</v>
      </c>
      <c r="H5" s="623">
        <v>2016</v>
      </c>
      <c r="I5" s="626"/>
    </row>
    <row r="6" spans="2:9" x14ac:dyDescent="0.25">
      <c r="B6" s="484" t="s">
        <v>1402</v>
      </c>
      <c r="C6" s="484"/>
      <c r="D6" s="485">
        <v>1.3</v>
      </c>
      <c r="E6" s="485">
        <v>5.7</v>
      </c>
      <c r="F6" s="485">
        <v>2.2000000000000002</v>
      </c>
      <c r="G6" s="485">
        <v>-0.7</v>
      </c>
      <c r="H6" s="485">
        <v>-2.1</v>
      </c>
      <c r="I6" s="627"/>
    </row>
    <row r="7" spans="2:9" x14ac:dyDescent="0.25">
      <c r="B7" s="483" t="s">
        <v>1598</v>
      </c>
      <c r="C7" s="485">
        <v>-4</v>
      </c>
      <c r="D7" s="485">
        <v>-4</v>
      </c>
      <c r="E7" s="485">
        <v>-4</v>
      </c>
      <c r="F7" s="485">
        <v>-4</v>
      </c>
      <c r="G7" s="485">
        <v>-4</v>
      </c>
      <c r="H7" s="485">
        <v>-4</v>
      </c>
      <c r="I7" s="627">
        <v>-4</v>
      </c>
    </row>
    <row r="8" spans="2:9" x14ac:dyDescent="0.25">
      <c r="B8" s="483" t="s">
        <v>1599</v>
      </c>
      <c r="C8" s="485">
        <v>2.5</v>
      </c>
      <c r="D8" s="485">
        <v>2.5</v>
      </c>
      <c r="E8" s="485">
        <v>2.5</v>
      </c>
      <c r="F8" s="485">
        <v>2.5</v>
      </c>
      <c r="G8" s="485">
        <v>2.5</v>
      </c>
      <c r="H8" s="485">
        <v>2.5</v>
      </c>
      <c r="I8" s="627">
        <v>2.5</v>
      </c>
    </row>
    <row r="9" spans="2:9" x14ac:dyDescent="0.25">
      <c r="B9" s="483" t="s">
        <v>1600</v>
      </c>
      <c r="C9" s="485">
        <v>6</v>
      </c>
      <c r="D9" s="485">
        <v>6</v>
      </c>
      <c r="E9" s="485">
        <v>6</v>
      </c>
      <c r="F9" s="485">
        <v>6</v>
      </c>
      <c r="G9" s="485">
        <v>6</v>
      </c>
      <c r="H9" s="485">
        <v>6</v>
      </c>
      <c r="I9" s="627">
        <v>6</v>
      </c>
    </row>
    <row r="10" spans="2:9" x14ac:dyDescent="0.25">
      <c r="B10" s="622" t="s">
        <v>1404</v>
      </c>
      <c r="C10" s="624">
        <v>2.5</v>
      </c>
      <c r="D10" s="624">
        <v>2.5</v>
      </c>
      <c r="E10" s="624">
        <v>2.5</v>
      </c>
      <c r="F10" s="624">
        <v>2.5</v>
      </c>
      <c r="G10" s="624">
        <v>2.5</v>
      </c>
      <c r="H10" s="624">
        <v>2.5</v>
      </c>
      <c r="I10" s="627">
        <v>2.5</v>
      </c>
    </row>
    <row r="27" spans="2:9" x14ac:dyDescent="0.25">
      <c r="B27" s="622"/>
      <c r="C27" s="622"/>
      <c r="D27" s="623">
        <v>2006</v>
      </c>
      <c r="E27" s="623">
        <v>2009</v>
      </c>
      <c r="F27" s="623">
        <v>2012</v>
      </c>
      <c r="G27" s="623">
        <v>2015</v>
      </c>
      <c r="H27" s="623">
        <v>2016</v>
      </c>
      <c r="I27" s="626"/>
    </row>
    <row r="28" spans="2:9" x14ac:dyDescent="0.25">
      <c r="B28" s="484" t="s">
        <v>1403</v>
      </c>
      <c r="C28" s="484"/>
      <c r="D28" s="485">
        <v>3</v>
      </c>
      <c r="E28" s="485">
        <v>7.4</v>
      </c>
      <c r="F28" s="485">
        <v>6.9</v>
      </c>
      <c r="G28" s="485">
        <v>3.5</v>
      </c>
      <c r="H28" s="485">
        <v>2.4</v>
      </c>
      <c r="I28" s="627"/>
    </row>
    <row r="29" spans="2:9" x14ac:dyDescent="0.25">
      <c r="B29" s="483" t="s">
        <v>1598</v>
      </c>
      <c r="C29" s="485">
        <v>2</v>
      </c>
      <c r="D29" s="485">
        <v>2</v>
      </c>
      <c r="E29" s="485">
        <v>2</v>
      </c>
      <c r="F29" s="485">
        <v>2</v>
      </c>
      <c r="G29" s="485">
        <v>2</v>
      </c>
      <c r="H29" s="485">
        <v>2</v>
      </c>
      <c r="I29" s="627">
        <v>2</v>
      </c>
    </row>
    <row r="30" spans="2:9" x14ac:dyDescent="0.25">
      <c r="B30" s="483" t="s">
        <v>1599</v>
      </c>
      <c r="C30" s="485">
        <v>6</v>
      </c>
      <c r="D30" s="485">
        <v>6</v>
      </c>
      <c r="E30" s="485">
        <v>6</v>
      </c>
      <c r="F30" s="485">
        <v>6</v>
      </c>
      <c r="G30" s="485">
        <v>6</v>
      </c>
      <c r="H30" s="485">
        <v>6</v>
      </c>
      <c r="I30" s="627">
        <v>6</v>
      </c>
    </row>
    <row r="31" spans="2:9" x14ac:dyDescent="0.25">
      <c r="B31" s="483" t="s">
        <v>1600</v>
      </c>
      <c r="C31" s="485">
        <v>8</v>
      </c>
      <c r="D31" s="485">
        <v>8</v>
      </c>
      <c r="E31" s="485">
        <v>8</v>
      </c>
      <c r="F31" s="485">
        <v>8</v>
      </c>
      <c r="G31" s="485">
        <v>8</v>
      </c>
      <c r="H31" s="485">
        <v>8</v>
      </c>
      <c r="I31" s="627">
        <v>8</v>
      </c>
    </row>
    <row r="32" spans="2:9" x14ac:dyDescent="0.25">
      <c r="B32" s="483" t="s">
        <v>1597</v>
      </c>
      <c r="C32" s="485">
        <v>6</v>
      </c>
      <c r="D32" s="485">
        <v>6</v>
      </c>
      <c r="E32" s="485">
        <v>6</v>
      </c>
      <c r="F32" s="485">
        <v>6</v>
      </c>
      <c r="G32" s="485">
        <v>6</v>
      </c>
      <c r="H32" s="485">
        <v>6</v>
      </c>
      <c r="I32" s="627">
        <v>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2:Q821"/>
  <sheetViews>
    <sheetView showGridLines="0" zoomScale="85" zoomScaleNormal="85" workbookViewId="0">
      <selection activeCell="O7" sqref="O7"/>
    </sheetView>
  </sheetViews>
  <sheetFormatPr defaultRowHeight="15" x14ac:dyDescent="0.25"/>
  <cols>
    <col min="2" max="2" width="28.42578125" customWidth="1"/>
    <col min="3" max="3" width="7.85546875" customWidth="1"/>
    <col min="4" max="4" width="13.42578125" style="34" customWidth="1"/>
    <col min="5" max="5" width="37.28515625" customWidth="1"/>
    <col min="8" max="8" width="10.140625" style="33" bestFit="1" customWidth="1"/>
    <col min="9" max="9" width="11.85546875" style="33" bestFit="1" customWidth="1"/>
    <col min="10" max="10" width="15.28515625" style="33" customWidth="1"/>
    <col min="11" max="11" width="4.7109375" style="323" customWidth="1"/>
    <col min="12" max="12" width="10.140625" style="33" bestFit="1" customWidth="1"/>
    <col min="13" max="13" width="9.140625" style="33"/>
    <col min="14" max="14" width="9.42578125" style="33" bestFit="1" customWidth="1"/>
    <col min="15" max="15" width="9.140625" style="33"/>
    <col min="16" max="16" width="14.85546875" style="33" bestFit="1" customWidth="1"/>
    <col min="17" max="17" width="9.140625" style="33"/>
  </cols>
  <sheetData>
    <row r="2" spans="1:17" ht="15.75" thickBot="1" x14ac:dyDescent="0.3">
      <c r="H2" s="139" t="s">
        <v>521</v>
      </c>
      <c r="I2" s="396" t="s">
        <v>171</v>
      </c>
      <c r="J2" s="397" t="s">
        <v>520</v>
      </c>
      <c r="K2" s="324"/>
      <c r="L2" s="139" t="s">
        <v>518</v>
      </c>
      <c r="M2" s="398" t="s">
        <v>172</v>
      </c>
      <c r="N2" s="398" t="s">
        <v>173</v>
      </c>
      <c r="O2" s="398" t="s">
        <v>174</v>
      </c>
      <c r="P2" s="398" t="s">
        <v>175</v>
      </c>
      <c r="Q2" s="139"/>
    </row>
    <row r="3" spans="1:17" ht="26.25" customHeight="1" thickBot="1" x14ac:dyDescent="0.3">
      <c r="A3" s="921" t="s">
        <v>713</v>
      </c>
      <c r="B3" s="921"/>
      <c r="C3" s="921"/>
      <c r="D3" s="129"/>
      <c r="E3" s="920" t="s">
        <v>569</v>
      </c>
      <c r="F3" s="920"/>
      <c r="H3" s="399">
        <v>42825</v>
      </c>
      <c r="I3" s="33">
        <v>85.350800000000007</v>
      </c>
      <c r="J3" s="33">
        <v>52.83</v>
      </c>
      <c r="L3" s="399">
        <v>42824</v>
      </c>
      <c r="M3" s="33">
        <v>1.1613453002259959</v>
      </c>
      <c r="N3" s="33">
        <v>1.0375189174515289</v>
      </c>
      <c r="O3" s="33">
        <v>1.1593184193297863</v>
      </c>
      <c r="P3" s="33">
        <v>0.95498959732835553</v>
      </c>
    </row>
    <row r="4" spans="1:17" ht="15.75" thickBot="1" x14ac:dyDescent="0.3">
      <c r="B4" s="83"/>
      <c r="C4" s="130"/>
      <c r="D4" s="140"/>
      <c r="E4" s="83"/>
      <c r="H4" s="399">
        <v>42824</v>
      </c>
      <c r="I4" s="33">
        <v>85.348799999999997</v>
      </c>
      <c r="J4" s="33">
        <v>52.96</v>
      </c>
      <c r="L4" s="399">
        <v>42823</v>
      </c>
      <c r="M4" s="33">
        <v>1.158410264882749</v>
      </c>
      <c r="N4" s="33">
        <v>1.0400828537999036</v>
      </c>
      <c r="O4" s="33">
        <v>1.1593308558311985</v>
      </c>
      <c r="P4" s="33">
        <v>0.96525268240416606</v>
      </c>
    </row>
    <row r="5" spans="1:17" x14ac:dyDescent="0.25">
      <c r="B5" s="84"/>
      <c r="C5" s="84"/>
      <c r="D5" s="141"/>
      <c r="E5" s="84"/>
      <c r="H5" s="399">
        <v>42823</v>
      </c>
      <c r="I5" s="33">
        <v>85.402299999999997</v>
      </c>
      <c r="J5" s="33">
        <v>52.42</v>
      </c>
      <c r="L5" s="399">
        <v>42822</v>
      </c>
      <c r="M5" s="33">
        <v>1.1573248614391369</v>
      </c>
      <c r="N5" s="33">
        <v>1.0447309507744382</v>
      </c>
      <c r="O5" s="33">
        <v>1.1625236079216075</v>
      </c>
      <c r="P5" s="33">
        <v>0.96956642583983843</v>
      </c>
    </row>
    <row r="6" spans="1:17" x14ac:dyDescent="0.25">
      <c r="H6" s="399">
        <v>42822</v>
      </c>
      <c r="I6" s="33">
        <v>84.905900000000003</v>
      </c>
      <c r="J6" s="33">
        <v>51.33</v>
      </c>
      <c r="L6" s="399">
        <v>42821</v>
      </c>
      <c r="M6" s="33">
        <v>1.1500733784724346</v>
      </c>
      <c r="N6" s="33">
        <v>1.039481604503385</v>
      </c>
      <c r="O6" s="33">
        <v>1.152630225578791</v>
      </c>
      <c r="P6" s="33">
        <v>0.97665956521827346</v>
      </c>
    </row>
    <row r="7" spans="1:17" x14ac:dyDescent="0.25">
      <c r="H7" s="399">
        <v>42821</v>
      </c>
      <c r="I7" s="33">
        <v>84.332300000000004</v>
      </c>
      <c r="J7" s="33">
        <v>50.75</v>
      </c>
      <c r="L7" s="399">
        <v>42818</v>
      </c>
      <c r="M7" s="33">
        <v>1.1510930117457558</v>
      </c>
      <c r="N7" s="33">
        <v>1.0359747458184709</v>
      </c>
      <c r="O7" s="33">
        <v>1.1527611124136841</v>
      </c>
      <c r="P7" s="33">
        <v>0.97496156544302015</v>
      </c>
    </row>
    <row r="8" spans="1:17" x14ac:dyDescent="0.25">
      <c r="H8" s="399">
        <v>42818</v>
      </c>
      <c r="I8" s="33">
        <v>84.525800000000004</v>
      </c>
      <c r="J8" s="33">
        <v>50.8</v>
      </c>
      <c r="L8" s="399">
        <v>42817</v>
      </c>
      <c r="M8" s="33">
        <v>1.1519370159060998</v>
      </c>
      <c r="N8" s="33">
        <v>1.0361724004352411</v>
      </c>
      <c r="O8" s="33">
        <v>1.1485809722624984</v>
      </c>
      <c r="P8" s="33">
        <v>0.96800289429273434</v>
      </c>
    </row>
    <row r="9" spans="1:17" x14ac:dyDescent="0.25">
      <c r="H9" s="399">
        <v>42817</v>
      </c>
      <c r="I9" s="33">
        <v>84.589299999999994</v>
      </c>
      <c r="J9" s="33">
        <v>50.56</v>
      </c>
      <c r="L9" s="399">
        <v>42816</v>
      </c>
      <c r="M9" s="33">
        <v>1.1529972897037108</v>
      </c>
      <c r="N9" s="33">
        <v>1.0297701019173608</v>
      </c>
      <c r="O9" s="33">
        <v>1.1399999061603179</v>
      </c>
      <c r="P9" s="33">
        <v>0.96824150647899088</v>
      </c>
    </row>
    <row r="10" spans="1:17" x14ac:dyDescent="0.25">
      <c r="H10" s="399">
        <v>42816</v>
      </c>
      <c r="I10" s="33">
        <v>84.660399999999996</v>
      </c>
      <c r="J10" s="33">
        <v>50.64</v>
      </c>
      <c r="L10" s="399">
        <v>42815</v>
      </c>
      <c r="M10" s="33">
        <v>1.1511073740886566</v>
      </c>
      <c r="N10" s="33">
        <v>1.0321864697182312</v>
      </c>
      <c r="O10" s="33">
        <v>1.1446652235822921</v>
      </c>
      <c r="P10" s="33">
        <v>0.9709667083540352</v>
      </c>
    </row>
    <row r="11" spans="1:17" x14ac:dyDescent="0.25">
      <c r="H11" s="399">
        <v>42815</v>
      </c>
      <c r="I11" s="33">
        <v>84.924099999999996</v>
      </c>
      <c r="J11" s="33">
        <v>50.96</v>
      </c>
      <c r="L11" s="399">
        <v>42814</v>
      </c>
      <c r="M11" s="33">
        <v>1.1635153674485892</v>
      </c>
      <c r="N11" s="33">
        <v>1.0269399175669358</v>
      </c>
      <c r="O11" s="33">
        <v>1.1447027592980454</v>
      </c>
      <c r="P11" s="33">
        <v>0.96706152993578787</v>
      </c>
    </row>
    <row r="12" spans="1:17" x14ac:dyDescent="0.25">
      <c r="H12" s="399">
        <v>42814</v>
      </c>
      <c r="I12" s="33">
        <v>85.107299999999995</v>
      </c>
      <c r="J12" s="33">
        <v>51.62</v>
      </c>
      <c r="L12" s="399">
        <v>42811</v>
      </c>
      <c r="M12" s="33">
        <v>1.1655252486637684</v>
      </c>
      <c r="N12" s="33">
        <v>1.0317792076683796</v>
      </c>
      <c r="O12" s="33">
        <v>1.1498724755154424</v>
      </c>
      <c r="P12" s="33">
        <v>0.96345847925364581</v>
      </c>
    </row>
    <row r="13" spans="1:17" x14ac:dyDescent="0.25">
      <c r="H13" s="399">
        <v>42811</v>
      </c>
      <c r="I13" s="33">
        <v>85.144900000000007</v>
      </c>
      <c r="J13" s="33">
        <v>51.76</v>
      </c>
      <c r="L13" s="399">
        <v>42810</v>
      </c>
      <c r="M13" s="33">
        <v>1.1668396126040048</v>
      </c>
      <c r="N13" s="33">
        <v>1.0264225516546022</v>
      </c>
      <c r="O13" s="33">
        <v>1.1459783204767042</v>
      </c>
      <c r="P13" s="33">
        <v>0.97250206496789815</v>
      </c>
    </row>
    <row r="14" spans="1:17" x14ac:dyDescent="0.25">
      <c r="H14" s="399">
        <v>42810</v>
      </c>
      <c r="I14" s="33">
        <v>84.873099999999994</v>
      </c>
      <c r="J14" s="33">
        <v>51.74</v>
      </c>
      <c r="L14" s="399">
        <v>42809</v>
      </c>
      <c r="M14" s="33">
        <v>1.1684662696560664</v>
      </c>
      <c r="N14" s="33">
        <v>1.0090802398645962</v>
      </c>
      <c r="O14" s="33">
        <v>1.1315428685634998</v>
      </c>
      <c r="P14" s="33">
        <v>0.96382672583553841</v>
      </c>
    </row>
    <row r="15" spans="1:17" x14ac:dyDescent="0.25">
      <c r="H15" s="399">
        <v>42809</v>
      </c>
      <c r="I15" s="33">
        <v>84.5137</v>
      </c>
      <c r="J15" s="33">
        <v>51.81</v>
      </c>
      <c r="L15" s="399">
        <v>42808</v>
      </c>
      <c r="M15" s="33">
        <v>1.1600915418030149</v>
      </c>
      <c r="N15" s="33">
        <v>1.0056043251778033</v>
      </c>
      <c r="O15" s="33">
        <v>1.1292186412086282</v>
      </c>
      <c r="P15" s="33">
        <v>0.96275683322346306</v>
      </c>
    </row>
    <row r="16" spans="1:17" x14ac:dyDescent="0.25">
      <c r="B16" s="34"/>
      <c r="C16" s="34"/>
      <c r="H16" s="399">
        <v>42808</v>
      </c>
      <c r="I16" s="33">
        <v>83.902600000000007</v>
      </c>
      <c r="J16" s="33">
        <v>50.92</v>
      </c>
      <c r="L16" s="399">
        <v>42807</v>
      </c>
      <c r="M16" s="33">
        <v>1.1634705607078253</v>
      </c>
      <c r="N16" s="33">
        <v>1.0138547484809317</v>
      </c>
      <c r="O16" s="33">
        <v>1.1328867737925616</v>
      </c>
      <c r="P16" s="33">
        <v>0.96211781780910033</v>
      </c>
    </row>
    <row r="17" spans="1:16" ht="15" customHeight="1" x14ac:dyDescent="0.25">
      <c r="B17" s="918" t="s">
        <v>711</v>
      </c>
      <c r="C17" s="918"/>
      <c r="E17" s="918" t="s">
        <v>711</v>
      </c>
      <c r="F17" s="918"/>
      <c r="H17" s="399">
        <v>42807</v>
      </c>
      <c r="I17" s="33">
        <v>84.369100000000003</v>
      </c>
      <c r="J17" s="33">
        <v>51.35</v>
      </c>
      <c r="L17" s="399">
        <v>42804</v>
      </c>
      <c r="M17" s="33">
        <v>1.16310387437216</v>
      </c>
      <c r="N17" s="33">
        <v>1.0150201563121604</v>
      </c>
      <c r="O17" s="33">
        <v>1.1315817368838497</v>
      </c>
      <c r="P17" s="33">
        <v>0.95437552396316017</v>
      </c>
    </row>
    <row r="18" spans="1:16" x14ac:dyDescent="0.25">
      <c r="H18" s="399">
        <v>42804</v>
      </c>
      <c r="I18" s="33">
        <v>84.267499999999998</v>
      </c>
      <c r="J18" s="33">
        <v>51.37</v>
      </c>
      <c r="L18" s="399">
        <v>42803</v>
      </c>
      <c r="M18" s="33">
        <v>1.1598351957555764</v>
      </c>
      <c r="N18" s="33">
        <v>1.0047212551266669</v>
      </c>
      <c r="O18" s="33">
        <v>1.1244501036229826</v>
      </c>
      <c r="P18" s="33">
        <v>0.95460174393399511</v>
      </c>
    </row>
    <row r="19" spans="1:16" x14ac:dyDescent="0.25">
      <c r="H19" s="399">
        <v>42803</v>
      </c>
      <c r="I19" s="33">
        <v>84.578500000000005</v>
      </c>
      <c r="J19" s="33">
        <v>52.19</v>
      </c>
      <c r="L19" s="399">
        <v>42802</v>
      </c>
      <c r="M19" s="33">
        <v>1.1590353582622415</v>
      </c>
      <c r="N19" s="33">
        <v>0.99463603865238293</v>
      </c>
      <c r="O19" s="33">
        <v>1.1194396048099771</v>
      </c>
      <c r="P19" s="33">
        <v>0.96241357871876199</v>
      </c>
    </row>
    <row r="20" spans="1:16" x14ac:dyDescent="0.25">
      <c r="H20" s="399">
        <v>42802</v>
      </c>
      <c r="I20" s="33">
        <v>85.290499999999994</v>
      </c>
      <c r="J20" s="33">
        <v>53.11</v>
      </c>
      <c r="L20" s="399">
        <v>42801</v>
      </c>
      <c r="M20" s="33">
        <v>1.1613196104335479</v>
      </c>
      <c r="N20" s="33">
        <v>0.99690484710462157</v>
      </c>
      <c r="O20" s="33">
        <v>1.1229355678570641</v>
      </c>
      <c r="P20" s="33">
        <v>0.96464382866501741</v>
      </c>
    </row>
    <row r="21" spans="1:16" x14ac:dyDescent="0.25">
      <c r="H21" s="399">
        <v>42801</v>
      </c>
      <c r="I21" s="33">
        <v>86.351500000000001</v>
      </c>
      <c r="J21" s="33">
        <v>55.92</v>
      </c>
      <c r="L21" s="399">
        <v>42800</v>
      </c>
      <c r="M21" s="33">
        <v>1.1642329143812433</v>
      </c>
      <c r="N21" s="33">
        <v>0.99787899766155297</v>
      </c>
      <c r="O21" s="33">
        <v>1.1225721768028802</v>
      </c>
      <c r="P21" s="33">
        <v>0.96245349275390679</v>
      </c>
    </row>
    <row r="22" spans="1:16" ht="27" customHeight="1" thickBot="1" x14ac:dyDescent="0.3">
      <c r="A22" s="920" t="s">
        <v>597</v>
      </c>
      <c r="B22" s="920"/>
      <c r="C22" s="920"/>
      <c r="E22" s="920" t="s">
        <v>598</v>
      </c>
      <c r="F22" s="920"/>
      <c r="H22" s="399">
        <v>42800</v>
      </c>
      <c r="I22" s="33">
        <v>87.110900000000001</v>
      </c>
      <c r="J22" s="33">
        <v>56.01</v>
      </c>
      <c r="L22" s="399">
        <v>42797</v>
      </c>
      <c r="M22" s="33">
        <v>1.1675101308034126</v>
      </c>
      <c r="N22" s="33">
        <v>1.0010518286750196</v>
      </c>
      <c r="O22" s="33">
        <v>1.1267995884561377</v>
      </c>
      <c r="P22" s="33">
        <v>0.95597313274615714</v>
      </c>
    </row>
    <row r="23" spans="1:16" x14ac:dyDescent="0.25">
      <c r="H23" s="399">
        <v>42797</v>
      </c>
      <c r="I23" s="33">
        <v>87.189899999999994</v>
      </c>
      <c r="J23" s="33">
        <v>55.9</v>
      </c>
      <c r="L23" s="399">
        <v>42796</v>
      </c>
      <c r="M23" s="33">
        <v>1.1670063355458051</v>
      </c>
      <c r="N23" s="33">
        <v>0.99017320717870305</v>
      </c>
      <c r="O23" s="33">
        <v>1.1241544424542589</v>
      </c>
      <c r="P23" s="33">
        <v>0.96177981154426417</v>
      </c>
    </row>
    <row r="24" spans="1:16" x14ac:dyDescent="0.25">
      <c r="H24" s="399">
        <v>42796</v>
      </c>
      <c r="I24" s="33">
        <v>86.986500000000007</v>
      </c>
      <c r="J24" s="33">
        <v>55.08</v>
      </c>
      <c r="L24" s="399">
        <v>42795</v>
      </c>
      <c r="M24" s="33">
        <v>1.1728661996503811</v>
      </c>
      <c r="N24" s="33">
        <v>0.9972740332972676</v>
      </c>
      <c r="O24" s="33">
        <v>1.1302727940561494</v>
      </c>
      <c r="P24" s="33">
        <v>0.96889264514440954</v>
      </c>
    </row>
    <row r="25" spans="1:16" x14ac:dyDescent="0.25">
      <c r="H25" s="399">
        <v>42795</v>
      </c>
      <c r="I25" s="33">
        <v>88.323999999999998</v>
      </c>
      <c r="J25" s="33">
        <v>56.36</v>
      </c>
      <c r="L25" s="399">
        <v>42794</v>
      </c>
      <c r="M25" s="33">
        <v>1.1591923745331889</v>
      </c>
      <c r="N25" s="33">
        <v>0.98024554803793196</v>
      </c>
      <c r="O25" s="33">
        <v>1.1148324108265402</v>
      </c>
      <c r="P25" s="33">
        <v>0.96944461208480237</v>
      </c>
    </row>
    <row r="26" spans="1:16" x14ac:dyDescent="0.25">
      <c r="H26" s="399">
        <v>42794</v>
      </c>
      <c r="I26" s="33">
        <v>87.738799999999998</v>
      </c>
      <c r="J26" s="33">
        <v>55.59</v>
      </c>
      <c r="L26" s="399">
        <v>42793</v>
      </c>
      <c r="M26" s="33">
        <v>1.1617707055807678</v>
      </c>
      <c r="N26" s="33">
        <v>0.97675167658766515</v>
      </c>
      <c r="O26" s="33">
        <v>1.1134617934493072</v>
      </c>
      <c r="P26" s="33">
        <v>0.96459061798261247</v>
      </c>
    </row>
    <row r="27" spans="1:16" x14ac:dyDescent="0.25">
      <c r="H27" s="399">
        <v>42793</v>
      </c>
      <c r="I27" s="33">
        <v>87.099500000000006</v>
      </c>
      <c r="J27" s="33">
        <v>55.93</v>
      </c>
      <c r="L27" s="399">
        <v>42790</v>
      </c>
      <c r="M27" s="33">
        <v>1.1607526853555363</v>
      </c>
      <c r="N27" s="33">
        <v>0.97185806094518745</v>
      </c>
      <c r="O27" s="33">
        <v>1.1085659006435957</v>
      </c>
      <c r="P27" s="33">
        <v>0.9721615120951741</v>
      </c>
    </row>
    <row r="28" spans="1:16" x14ac:dyDescent="0.25">
      <c r="H28" s="399">
        <v>42790</v>
      </c>
      <c r="I28" s="33">
        <v>87.483599999999996</v>
      </c>
      <c r="J28" s="33">
        <v>55.99</v>
      </c>
      <c r="L28" s="399">
        <v>42789</v>
      </c>
      <c r="M28" s="33">
        <v>1.159259333520998</v>
      </c>
      <c r="N28" s="33">
        <v>0.98062976675284941</v>
      </c>
      <c r="O28" s="33">
        <v>1.1204145514707662</v>
      </c>
      <c r="P28" s="33">
        <v>0.97138293197625325</v>
      </c>
    </row>
    <row r="29" spans="1:16" x14ac:dyDescent="0.25">
      <c r="H29" s="399">
        <v>42789</v>
      </c>
      <c r="I29" s="33">
        <v>87.372299999999996</v>
      </c>
      <c r="J29" s="33">
        <v>56.58</v>
      </c>
      <c r="L29" s="399">
        <v>42788</v>
      </c>
      <c r="M29" s="33">
        <v>1.1588403426541527</v>
      </c>
      <c r="N29" s="33">
        <v>0.98032669412537854</v>
      </c>
      <c r="O29" s="33">
        <v>1.1227567778202676</v>
      </c>
      <c r="P29" s="33">
        <v>0.97294948311187346</v>
      </c>
    </row>
    <row r="30" spans="1:16" x14ac:dyDescent="0.25">
      <c r="H30" s="399">
        <v>42788</v>
      </c>
      <c r="I30" s="33">
        <v>87.551900000000003</v>
      </c>
      <c r="J30" s="33">
        <v>55.84</v>
      </c>
      <c r="L30" s="399">
        <v>42787</v>
      </c>
      <c r="M30" s="33">
        <v>1.1599226211886799</v>
      </c>
      <c r="N30" s="33">
        <v>0.98006016110522887</v>
      </c>
      <c r="O30" s="33">
        <v>1.1198728417408135</v>
      </c>
      <c r="P30" s="33">
        <v>0.96972172902175768</v>
      </c>
    </row>
    <row r="31" spans="1:16" x14ac:dyDescent="0.25">
      <c r="H31" s="399">
        <v>42787</v>
      </c>
      <c r="I31" s="33">
        <v>87.864599999999996</v>
      </c>
      <c r="J31" s="33">
        <v>56.66</v>
      </c>
      <c r="L31" s="399">
        <v>42783</v>
      </c>
      <c r="M31" s="33">
        <v>1.1538745427933348</v>
      </c>
      <c r="N31" s="33">
        <v>0.97749219286175526</v>
      </c>
      <c r="O31" s="33">
        <v>1.1086842622931017</v>
      </c>
      <c r="P31" s="33">
        <v>0.95594541632606278</v>
      </c>
    </row>
    <row r="32" spans="1:16" x14ac:dyDescent="0.25">
      <c r="H32" s="399">
        <v>42783</v>
      </c>
      <c r="I32" s="33">
        <v>88.110399999999998</v>
      </c>
      <c r="J32" s="33">
        <v>55.81</v>
      </c>
      <c r="L32" s="399">
        <v>42782</v>
      </c>
      <c r="M32" s="33">
        <v>1.1521959613224881</v>
      </c>
      <c r="N32" s="33">
        <v>0.98182416419484109</v>
      </c>
      <c r="O32" s="33">
        <v>1.1123639057327925</v>
      </c>
      <c r="P32" s="33">
        <v>0.96583079972294827</v>
      </c>
    </row>
    <row r="33" spans="2:16" x14ac:dyDescent="0.25">
      <c r="H33" s="399">
        <v>42782</v>
      </c>
      <c r="I33" s="33">
        <v>88.480599999999995</v>
      </c>
      <c r="J33" s="33">
        <v>55.65</v>
      </c>
      <c r="L33" s="399">
        <v>42781</v>
      </c>
      <c r="M33" s="33">
        <v>1.1530600668880941</v>
      </c>
      <c r="N33" s="33">
        <v>0.9791417232423385</v>
      </c>
      <c r="O33" s="33">
        <v>1.1089757880714912</v>
      </c>
      <c r="P33" s="33">
        <v>0.96082988385158585</v>
      </c>
    </row>
    <row r="34" spans="2:16" x14ac:dyDescent="0.25">
      <c r="H34" s="399">
        <v>42781</v>
      </c>
      <c r="I34" s="33">
        <v>89.013800000000003</v>
      </c>
      <c r="J34" s="33">
        <v>55.75</v>
      </c>
      <c r="L34" s="399">
        <v>42780</v>
      </c>
      <c r="M34" s="33">
        <v>1.1480677243800299</v>
      </c>
      <c r="N34" s="33">
        <v>0.97285641374279663</v>
      </c>
      <c r="O34" s="33">
        <v>1.1052949425131136</v>
      </c>
      <c r="P34" s="33">
        <v>0.96037087324470005</v>
      </c>
    </row>
    <row r="35" spans="2:16" x14ac:dyDescent="0.25">
      <c r="H35" s="399">
        <v>42780</v>
      </c>
      <c r="I35" s="33">
        <v>88.625900000000001</v>
      </c>
      <c r="J35" s="33">
        <v>55.97</v>
      </c>
      <c r="L35" s="399">
        <v>42779</v>
      </c>
      <c r="M35" s="33">
        <v>1.1440604227586402</v>
      </c>
      <c r="N35" s="33">
        <v>0.97467797747139073</v>
      </c>
      <c r="O35" s="33">
        <v>1.1084424501684378</v>
      </c>
      <c r="P35" s="33">
        <v>0.9583581196795552</v>
      </c>
    </row>
    <row r="36" spans="2:16" x14ac:dyDescent="0.25">
      <c r="B36" s="918" t="s">
        <v>712</v>
      </c>
      <c r="C36" s="918"/>
      <c r="E36" s="918" t="s">
        <v>712</v>
      </c>
      <c r="F36" s="918"/>
      <c r="H36" s="399">
        <v>42779</v>
      </c>
      <c r="I36" s="33">
        <v>88.637600000000006</v>
      </c>
      <c r="J36" s="33">
        <v>55.59</v>
      </c>
      <c r="L36" s="399">
        <v>42776</v>
      </c>
      <c r="M36" s="33">
        <v>1.1388145352753711</v>
      </c>
      <c r="N36" s="33">
        <v>0.96777182627346292</v>
      </c>
      <c r="O36" s="33">
        <v>1.1028381928902751</v>
      </c>
      <c r="P36" s="33">
        <v>0.95211623230865361</v>
      </c>
    </row>
    <row r="37" spans="2:16" x14ac:dyDescent="0.25">
      <c r="H37" s="399">
        <v>42776</v>
      </c>
      <c r="I37" s="33">
        <v>89.357399999999998</v>
      </c>
      <c r="J37" s="33">
        <v>56.7</v>
      </c>
      <c r="L37" s="399">
        <v>42775</v>
      </c>
      <c r="M37" s="33">
        <v>1.1352484765285613</v>
      </c>
      <c r="N37" s="33">
        <v>0.97204881671968835</v>
      </c>
      <c r="O37" s="33">
        <v>1.1029301246059688</v>
      </c>
      <c r="P37" s="33">
        <v>0.94832142660347074</v>
      </c>
    </row>
    <row r="38" spans="2:16" x14ac:dyDescent="0.25">
      <c r="H38" s="399">
        <v>42775</v>
      </c>
      <c r="I38" s="33">
        <v>88.527299999999997</v>
      </c>
      <c r="J38" s="33">
        <v>55.63</v>
      </c>
      <c r="L38" s="399">
        <v>42774</v>
      </c>
      <c r="M38" s="33">
        <v>1.1294960153903588</v>
      </c>
      <c r="N38" s="33">
        <v>0.96355814398874862</v>
      </c>
      <c r="O38" s="33">
        <v>1.0980837490350002</v>
      </c>
      <c r="P38" s="33">
        <v>0.94396667998369721</v>
      </c>
    </row>
    <row r="39" spans="2:16" x14ac:dyDescent="0.25">
      <c r="H39" s="399">
        <v>42774</v>
      </c>
      <c r="I39" s="33">
        <v>88.4178</v>
      </c>
      <c r="J39" s="33">
        <v>55.12</v>
      </c>
      <c r="L39" s="399">
        <v>42773</v>
      </c>
      <c r="M39" s="33">
        <v>1.1288026248414029</v>
      </c>
      <c r="N39" s="33">
        <v>0.96237005434162493</v>
      </c>
      <c r="O39" s="33">
        <v>1.0981411034282642</v>
      </c>
      <c r="P39" s="33">
        <v>0.93811352940941428</v>
      </c>
    </row>
    <row r="40" spans="2:16" x14ac:dyDescent="0.25">
      <c r="H40" s="399">
        <v>42773</v>
      </c>
      <c r="I40" s="33">
        <v>87.862399999999994</v>
      </c>
      <c r="J40" s="33">
        <v>55.05</v>
      </c>
      <c r="L40" s="399">
        <v>42772</v>
      </c>
      <c r="M40" s="33">
        <v>1.1285758041693157</v>
      </c>
      <c r="N40" s="33">
        <v>0.96717534611253297</v>
      </c>
      <c r="O40" s="33">
        <v>1.0987198884875302</v>
      </c>
      <c r="P40" s="33">
        <v>0.94390368392205581</v>
      </c>
    </row>
    <row r="41" spans="2:16" x14ac:dyDescent="0.25">
      <c r="H41" s="399">
        <v>42772</v>
      </c>
      <c r="I41" s="33">
        <v>87.83</v>
      </c>
      <c r="J41" s="33">
        <v>55.72</v>
      </c>
      <c r="L41" s="399">
        <v>42769</v>
      </c>
      <c r="M41" s="33">
        <v>1.130691220592956</v>
      </c>
      <c r="N41" s="33">
        <v>0.98230290882360571</v>
      </c>
      <c r="O41" s="33">
        <v>1.1153656941497969</v>
      </c>
      <c r="P41" s="33">
        <v>0.94157182255246297</v>
      </c>
    </row>
    <row r="42" spans="2:16" x14ac:dyDescent="0.25">
      <c r="H42" s="399">
        <v>42769</v>
      </c>
      <c r="I42" s="33">
        <v>87.942800000000005</v>
      </c>
      <c r="J42" s="33">
        <v>56.81</v>
      </c>
      <c r="L42" s="399">
        <v>42768</v>
      </c>
      <c r="M42" s="33">
        <v>1.1234263851149544</v>
      </c>
      <c r="N42" s="33">
        <v>0.97668256966057498</v>
      </c>
      <c r="O42" s="33">
        <v>1.1137127911348852</v>
      </c>
      <c r="P42" s="33">
        <v>0.94064433604090913</v>
      </c>
    </row>
    <row r="43" spans="2:16" x14ac:dyDescent="0.25">
      <c r="H43" s="399">
        <v>42768</v>
      </c>
      <c r="I43" s="33">
        <v>88.399900000000002</v>
      </c>
      <c r="J43" s="33">
        <v>56.56</v>
      </c>
      <c r="L43" s="399">
        <v>42767</v>
      </c>
      <c r="M43" s="33">
        <v>1.1228560971195169</v>
      </c>
      <c r="N43" s="33">
        <v>0.97506228511887483</v>
      </c>
      <c r="O43" s="33">
        <v>1.1131726243219147</v>
      </c>
      <c r="P43" s="33">
        <v>0.94064433604090913</v>
      </c>
    </row>
    <row r="44" spans="2:16" x14ac:dyDescent="0.25">
      <c r="H44" s="399">
        <v>42767</v>
      </c>
      <c r="I44" s="33">
        <v>88.542199999999994</v>
      </c>
      <c r="J44" s="33">
        <v>56.8</v>
      </c>
      <c r="L44" s="399">
        <v>42766</v>
      </c>
      <c r="M44" s="33">
        <v>1.1225577036174741</v>
      </c>
      <c r="N44" s="33">
        <v>0.96922085198218833</v>
      </c>
      <c r="O44" s="33">
        <v>1.105312090370981</v>
      </c>
      <c r="P44" s="33">
        <v>0.94064433604090913</v>
      </c>
    </row>
    <row r="45" spans="2:16" x14ac:dyDescent="0.25">
      <c r="H45" s="399">
        <v>42766</v>
      </c>
      <c r="I45" s="33">
        <v>87.592200000000005</v>
      </c>
      <c r="J45" s="33">
        <v>55.7</v>
      </c>
      <c r="L45" s="399">
        <v>42765</v>
      </c>
      <c r="M45" s="33">
        <v>1.1234477031790506</v>
      </c>
      <c r="N45" s="33">
        <v>0.97061422022670696</v>
      </c>
      <c r="O45" s="33">
        <v>1.1094562675784756</v>
      </c>
      <c r="P45" s="33">
        <v>0.94064433604090913</v>
      </c>
    </row>
    <row r="46" spans="2:16" x14ac:dyDescent="0.25">
      <c r="H46" s="399">
        <v>42765</v>
      </c>
      <c r="I46" s="33">
        <v>87.029300000000006</v>
      </c>
      <c r="J46" s="33">
        <v>55.23</v>
      </c>
      <c r="L46" s="399">
        <v>42762</v>
      </c>
      <c r="M46" s="33">
        <v>1.1294572295202991</v>
      </c>
      <c r="N46" s="33">
        <v>0.98198334934314113</v>
      </c>
      <c r="O46" s="33">
        <v>1.1197357737294729</v>
      </c>
      <c r="P46" s="33">
        <v>0.94064433604090913</v>
      </c>
    </row>
    <row r="47" spans="2:16" x14ac:dyDescent="0.25">
      <c r="H47" s="399">
        <v>42762</v>
      </c>
      <c r="I47" s="33">
        <v>87.977000000000004</v>
      </c>
      <c r="J47" s="33">
        <v>55.52</v>
      </c>
      <c r="L47" s="399">
        <v>42761</v>
      </c>
      <c r="M47" s="33">
        <v>1.1303236976394975</v>
      </c>
      <c r="N47" s="33">
        <v>0.98711608094582859</v>
      </c>
      <c r="O47" s="33">
        <v>1.1230089182114971</v>
      </c>
      <c r="P47" s="33">
        <v>0.94064433604090913</v>
      </c>
    </row>
    <row r="48" spans="2:16" x14ac:dyDescent="0.25">
      <c r="H48" s="399">
        <v>42761</v>
      </c>
      <c r="I48" s="33">
        <v>88.269199999999998</v>
      </c>
      <c r="J48" s="33">
        <v>56.24</v>
      </c>
      <c r="L48" s="399">
        <v>42760</v>
      </c>
      <c r="M48" s="33">
        <v>1.131059001354739</v>
      </c>
      <c r="N48" s="33">
        <v>0.99396609902600064</v>
      </c>
      <c r="O48" s="33">
        <v>1.1241689032174325</v>
      </c>
      <c r="P48" s="33">
        <v>0.93945900140193683</v>
      </c>
    </row>
    <row r="49" spans="8:16" x14ac:dyDescent="0.25">
      <c r="H49" s="399">
        <v>42760</v>
      </c>
      <c r="I49" s="33">
        <v>88.367500000000007</v>
      </c>
      <c r="J49" s="33">
        <v>55.08</v>
      </c>
      <c r="L49" s="399">
        <v>42759</v>
      </c>
      <c r="M49" s="33">
        <v>1.1230329319796759</v>
      </c>
      <c r="N49" s="33">
        <v>0.98215912832476948</v>
      </c>
      <c r="O49" s="33">
        <v>1.1077603284496904</v>
      </c>
      <c r="P49" s="33">
        <v>0.93848641379954922</v>
      </c>
    </row>
    <row r="50" spans="8:16" x14ac:dyDescent="0.25">
      <c r="H50" s="399">
        <v>42759</v>
      </c>
      <c r="I50" s="33">
        <v>88.750200000000007</v>
      </c>
      <c r="J50" s="33">
        <v>55.44</v>
      </c>
      <c r="L50" s="399">
        <v>42758</v>
      </c>
      <c r="M50" s="33">
        <v>1.1164683902173587</v>
      </c>
      <c r="N50" s="33">
        <v>0.97676127765299103</v>
      </c>
      <c r="O50" s="33">
        <v>1.1006912522159391</v>
      </c>
      <c r="P50" s="33">
        <v>0.93816356126226008</v>
      </c>
    </row>
    <row r="51" spans="8:16" x14ac:dyDescent="0.25">
      <c r="H51" s="399">
        <v>42758</v>
      </c>
      <c r="I51" s="33">
        <v>88.595799999999997</v>
      </c>
      <c r="J51" s="33">
        <v>55.23</v>
      </c>
      <c r="L51" s="399">
        <v>42755</v>
      </c>
      <c r="M51" s="33">
        <v>1.119158467749708</v>
      </c>
      <c r="N51" s="33">
        <v>0.97993038834336588</v>
      </c>
      <c r="O51" s="33">
        <v>1.1031106830705619</v>
      </c>
      <c r="P51" s="33">
        <v>0.92958778962741961</v>
      </c>
    </row>
    <row r="52" spans="8:16" x14ac:dyDescent="0.25">
      <c r="H52" s="399">
        <v>42755</v>
      </c>
      <c r="I52" s="33">
        <v>88.376000000000005</v>
      </c>
      <c r="J52" s="33">
        <v>55.49</v>
      </c>
      <c r="L52" s="399">
        <v>42754</v>
      </c>
      <c r="M52" s="33">
        <v>1.1157922824504842</v>
      </c>
      <c r="N52" s="33">
        <v>0.97310611834961858</v>
      </c>
      <c r="O52" s="33">
        <v>1.0961883899655946</v>
      </c>
      <c r="P52" s="33">
        <v>0.92147655575883292</v>
      </c>
    </row>
    <row r="53" spans="8:16" x14ac:dyDescent="0.25">
      <c r="H53" s="399">
        <v>42754</v>
      </c>
      <c r="I53" s="33">
        <v>88.157899999999998</v>
      </c>
      <c r="J53" s="33">
        <v>54.16</v>
      </c>
      <c r="L53" s="399">
        <v>42753</v>
      </c>
      <c r="M53" s="33">
        <v>1.119401612127537</v>
      </c>
      <c r="N53" s="33">
        <v>0.97898886244689987</v>
      </c>
      <c r="O53" s="33">
        <v>1.1011768297573266</v>
      </c>
      <c r="P53" s="33">
        <v>0.93056527632961017</v>
      </c>
    </row>
    <row r="54" spans="8:16" x14ac:dyDescent="0.25">
      <c r="H54" s="399">
        <v>42753</v>
      </c>
      <c r="I54" s="33">
        <v>88.383899999999997</v>
      </c>
      <c r="J54" s="33">
        <v>53.92</v>
      </c>
      <c r="L54" s="399">
        <v>42752</v>
      </c>
      <c r="M54" s="33">
        <v>1.1176378581535786</v>
      </c>
      <c r="N54" s="33">
        <v>0.97776090450198838</v>
      </c>
      <c r="O54" s="33">
        <v>1.0975335763587921</v>
      </c>
      <c r="P54" s="33">
        <v>0.92912906410462459</v>
      </c>
    </row>
    <row r="55" spans="8:16" x14ac:dyDescent="0.25">
      <c r="H55" s="399">
        <v>42752</v>
      </c>
      <c r="I55" s="33">
        <v>88.948700000000002</v>
      </c>
      <c r="J55" s="33">
        <v>55.47</v>
      </c>
      <c r="L55" s="399">
        <v>42748</v>
      </c>
      <c r="M55" s="33">
        <v>1.1206053607034328</v>
      </c>
      <c r="N55" s="33">
        <v>0.98382300870318273</v>
      </c>
      <c r="O55" s="33">
        <v>1.0994181768715525</v>
      </c>
      <c r="P55" s="33">
        <v>0.92301557295054737</v>
      </c>
    </row>
    <row r="56" spans="8:16" x14ac:dyDescent="0.25">
      <c r="H56" s="399">
        <v>42748</v>
      </c>
      <c r="I56" s="33">
        <v>88.543199999999999</v>
      </c>
      <c r="J56" s="33">
        <v>55.45</v>
      </c>
      <c r="L56" s="399">
        <v>42747</v>
      </c>
      <c r="M56" s="33">
        <v>1.1187554990026172</v>
      </c>
      <c r="N56" s="33">
        <v>0.9735105229656551</v>
      </c>
      <c r="O56" s="33">
        <v>1.0911693459554872</v>
      </c>
      <c r="P56" s="33">
        <v>0.92694447167251681</v>
      </c>
    </row>
    <row r="57" spans="8:16" x14ac:dyDescent="0.25">
      <c r="H57" s="399">
        <v>42747</v>
      </c>
      <c r="I57" s="33">
        <v>88.485699999999994</v>
      </c>
      <c r="J57" s="33">
        <v>56.01</v>
      </c>
      <c r="L57" s="399">
        <v>42746</v>
      </c>
      <c r="M57" s="33">
        <v>1.120900252268092</v>
      </c>
      <c r="N57" s="33">
        <v>0.9714626273334479</v>
      </c>
      <c r="O57" s="33">
        <v>1.0934816854496221</v>
      </c>
      <c r="P57" s="33">
        <v>0.9276015966779374</v>
      </c>
    </row>
    <row r="58" spans="8:16" x14ac:dyDescent="0.25">
      <c r="H58" s="399">
        <v>42746</v>
      </c>
      <c r="I58" s="33">
        <v>87.2102</v>
      </c>
      <c r="J58" s="33">
        <v>55.1</v>
      </c>
      <c r="L58" s="399">
        <v>42745</v>
      </c>
      <c r="M58" s="33">
        <v>1.1180706872806532</v>
      </c>
      <c r="N58" s="33">
        <v>0.97112885183961328</v>
      </c>
      <c r="O58" s="33">
        <v>1.0882444373308076</v>
      </c>
      <c r="P58" s="33">
        <v>0.93462241922040645</v>
      </c>
    </row>
    <row r="59" spans="8:16" x14ac:dyDescent="0.25">
      <c r="H59" s="399">
        <v>42745</v>
      </c>
      <c r="I59" s="33">
        <v>86.854200000000006</v>
      </c>
      <c r="J59" s="33">
        <v>53.64</v>
      </c>
      <c r="L59" s="399">
        <v>42744</v>
      </c>
      <c r="M59" s="33">
        <v>1.1180706872806532</v>
      </c>
      <c r="N59" s="33">
        <v>0.97290814752095467</v>
      </c>
      <c r="O59" s="33">
        <v>1.0875222001249436</v>
      </c>
      <c r="P59" s="33">
        <v>0.93612683610079972</v>
      </c>
    </row>
    <row r="60" spans="8:16" x14ac:dyDescent="0.25">
      <c r="H60" s="399">
        <v>42744</v>
      </c>
      <c r="I60" s="33">
        <v>86.343400000000003</v>
      </c>
      <c r="J60" s="33">
        <v>54.94</v>
      </c>
      <c r="L60" s="399">
        <v>42741</v>
      </c>
      <c r="M60" s="33">
        <v>1.1216192472153033</v>
      </c>
      <c r="N60" s="33">
        <v>0.97459832734786755</v>
      </c>
      <c r="O60" s="33">
        <v>1.0885568708979911</v>
      </c>
      <c r="P60" s="33">
        <v>0.93160510688120945</v>
      </c>
    </row>
    <row r="61" spans="8:16" x14ac:dyDescent="0.25">
      <c r="H61" s="399">
        <v>42741</v>
      </c>
      <c r="I61" s="33">
        <v>87.3673</v>
      </c>
      <c r="J61" s="33">
        <v>57.1</v>
      </c>
      <c r="L61" s="399">
        <v>42740</v>
      </c>
      <c r="M61" s="33">
        <v>1.1181022793880664</v>
      </c>
      <c r="N61" s="33">
        <v>0.9777167454648259</v>
      </c>
      <c r="O61" s="33">
        <v>1.0918770777793689</v>
      </c>
      <c r="P61" s="33">
        <v>0.94329080261726972</v>
      </c>
    </row>
    <row r="62" spans="8:16" x14ac:dyDescent="0.25">
      <c r="H62" s="399">
        <v>42740</v>
      </c>
      <c r="I62" s="33">
        <v>87.529399999999995</v>
      </c>
      <c r="J62" s="33">
        <v>56.89</v>
      </c>
      <c r="L62" s="399">
        <v>42739</v>
      </c>
      <c r="M62" s="33">
        <v>1.118872949871387</v>
      </c>
      <c r="N62" s="33">
        <v>0.96600498458110229</v>
      </c>
      <c r="O62" s="33">
        <v>1.0797898784981053</v>
      </c>
      <c r="P62" s="33">
        <v>0.93600534408369307</v>
      </c>
    </row>
    <row r="63" spans="8:16" x14ac:dyDescent="0.25">
      <c r="H63" s="399">
        <v>42739</v>
      </c>
      <c r="I63" s="33">
        <v>87.171800000000005</v>
      </c>
      <c r="J63" s="33">
        <v>56.46</v>
      </c>
      <c r="L63" s="399">
        <v>42738</v>
      </c>
      <c r="M63" s="33">
        <v>1.1131506412830521</v>
      </c>
      <c r="N63" s="33">
        <v>0.96093186786429041</v>
      </c>
      <c r="O63" s="33">
        <v>1.075468148462325</v>
      </c>
      <c r="P63" s="33">
        <v>0.92242709836039238</v>
      </c>
    </row>
    <row r="64" spans="8:16" x14ac:dyDescent="0.25">
      <c r="H64" s="399">
        <v>42738</v>
      </c>
      <c r="I64" s="33">
        <v>86.067300000000003</v>
      </c>
      <c r="J64" s="33">
        <v>55.47</v>
      </c>
      <c r="L64" s="399">
        <v>42734</v>
      </c>
      <c r="M64" s="33">
        <v>1.1046640657056299</v>
      </c>
      <c r="N64" s="33">
        <v>0.96494859282274947</v>
      </c>
      <c r="O64" s="33">
        <v>1.0779610096977623</v>
      </c>
      <c r="P64" s="33">
        <v>0.91374050369287785</v>
      </c>
    </row>
    <row r="65" spans="8:16" x14ac:dyDescent="0.25">
      <c r="H65" s="399">
        <v>42734</v>
      </c>
      <c r="I65" s="33">
        <v>87.514399999999995</v>
      </c>
      <c r="J65" s="33">
        <v>56.82</v>
      </c>
      <c r="L65" s="399">
        <v>42733</v>
      </c>
      <c r="M65" s="33">
        <v>1.1093011463454849</v>
      </c>
      <c r="N65" s="33">
        <v>0.95201165185454051</v>
      </c>
      <c r="O65" s="33">
        <v>1.068159585003944</v>
      </c>
      <c r="P65" s="33">
        <v>0.90968710610434278</v>
      </c>
    </row>
    <row r="66" spans="8:16" x14ac:dyDescent="0.25">
      <c r="H66" s="399">
        <v>42733</v>
      </c>
      <c r="I66" s="33">
        <v>87.667199999999994</v>
      </c>
      <c r="J66" s="33">
        <v>56.14</v>
      </c>
      <c r="L66" s="399">
        <v>42732</v>
      </c>
      <c r="M66" s="33">
        <v>1.1095944901088188</v>
      </c>
      <c r="N66" s="33">
        <v>0.94567783423652907</v>
      </c>
      <c r="O66" s="33">
        <v>1.0617890027609671</v>
      </c>
      <c r="P66" s="33">
        <v>0.90755960033201277</v>
      </c>
    </row>
    <row r="67" spans="8:16" x14ac:dyDescent="0.25">
      <c r="H67" s="399">
        <v>42732</v>
      </c>
      <c r="I67" s="33">
        <v>87.752399999999994</v>
      </c>
      <c r="J67" s="33">
        <v>56.22</v>
      </c>
      <c r="L67" s="399">
        <v>42731</v>
      </c>
      <c r="M67" s="33">
        <v>1.1179510360698215</v>
      </c>
      <c r="N67" s="33">
        <v>0.95250629640621187</v>
      </c>
      <c r="O67" s="33">
        <v>1.0684369428258043</v>
      </c>
      <c r="P67" s="33">
        <v>0.91478924338287748</v>
      </c>
    </row>
    <row r="68" spans="8:16" x14ac:dyDescent="0.25">
      <c r="H68" s="399">
        <v>42731</v>
      </c>
      <c r="I68" s="33">
        <v>87.598699999999994</v>
      </c>
      <c r="J68" s="33">
        <v>56.09</v>
      </c>
      <c r="L68" s="399">
        <v>42727</v>
      </c>
      <c r="M68" s="33">
        <v>1.1157025942973955</v>
      </c>
      <c r="N68" s="33">
        <v>0.95034671172942908</v>
      </c>
      <c r="O68" s="33">
        <v>1.0657212228453985</v>
      </c>
      <c r="P68" s="33">
        <v>0.91485072960560831</v>
      </c>
    </row>
    <row r="69" spans="8:16" x14ac:dyDescent="0.25">
      <c r="H69" s="399">
        <v>42727</v>
      </c>
      <c r="I69" s="33">
        <v>86.290999999999997</v>
      </c>
      <c r="J69" s="33">
        <v>55.16</v>
      </c>
      <c r="L69" s="399">
        <v>42726</v>
      </c>
      <c r="M69" s="33">
        <v>1.1144509135953928</v>
      </c>
      <c r="N69" s="33">
        <v>0.9484072165178643</v>
      </c>
      <c r="O69" s="33">
        <v>1.0656855002575512</v>
      </c>
      <c r="P69" s="33">
        <v>0.92411649962320808</v>
      </c>
    </row>
    <row r="70" spans="8:16" x14ac:dyDescent="0.25">
      <c r="H70" s="399">
        <v>42726</v>
      </c>
      <c r="I70" s="33">
        <v>86.330500000000001</v>
      </c>
      <c r="J70" s="33">
        <v>55.05</v>
      </c>
      <c r="L70" s="399">
        <v>42725</v>
      </c>
      <c r="M70" s="33">
        <v>1.1163139002013138</v>
      </c>
      <c r="N70" s="33">
        <v>0.94734830309692408</v>
      </c>
      <c r="O70" s="33">
        <v>1.065341920264693</v>
      </c>
      <c r="P70" s="33">
        <v>0.92500818703784504</v>
      </c>
    </row>
    <row r="71" spans="8:16" x14ac:dyDescent="0.25">
      <c r="H71" s="399">
        <v>42725</v>
      </c>
      <c r="I71" s="33">
        <v>86.403199999999998</v>
      </c>
      <c r="J71" s="33">
        <v>54.46</v>
      </c>
      <c r="L71" s="399">
        <v>42724</v>
      </c>
      <c r="M71" s="33">
        <v>1.1187712272636192</v>
      </c>
      <c r="N71" s="33">
        <v>0.94720736473766265</v>
      </c>
      <c r="O71" s="33">
        <v>1.0622118519398476</v>
      </c>
      <c r="P71" s="33">
        <v>0.91263296487672352</v>
      </c>
    </row>
    <row r="72" spans="8:16" x14ac:dyDescent="0.25">
      <c r="H72" s="399">
        <v>42724</v>
      </c>
      <c r="I72" s="33">
        <v>86.156899999999993</v>
      </c>
      <c r="J72" s="33">
        <v>55.35</v>
      </c>
      <c r="L72" s="399">
        <v>42723</v>
      </c>
      <c r="M72" s="33">
        <v>1.1151337064351661</v>
      </c>
      <c r="N72" s="33">
        <v>0.94502314931649201</v>
      </c>
      <c r="O72" s="33">
        <v>1.0633019080992439</v>
      </c>
      <c r="P72" s="33">
        <v>0.9152321657222473</v>
      </c>
    </row>
    <row r="73" spans="8:16" x14ac:dyDescent="0.25">
      <c r="H73" s="399">
        <v>42723</v>
      </c>
      <c r="I73" s="33">
        <v>86.568700000000007</v>
      </c>
      <c r="J73" s="33">
        <v>54.92</v>
      </c>
      <c r="L73" s="399">
        <v>42720</v>
      </c>
      <c r="M73" s="33">
        <v>1.1131585683747871</v>
      </c>
      <c r="N73" s="33">
        <v>0.94564097481985354</v>
      </c>
      <c r="O73" s="33">
        <v>1.0615040614006572</v>
      </c>
      <c r="P73" s="33">
        <v>0.91516496897669497</v>
      </c>
    </row>
    <row r="74" spans="8:16" x14ac:dyDescent="0.25">
      <c r="H74" s="399">
        <v>42720</v>
      </c>
      <c r="I74" s="33">
        <v>87.133300000000006</v>
      </c>
      <c r="J74" s="33">
        <v>55.21</v>
      </c>
      <c r="L74" s="399">
        <v>42719</v>
      </c>
      <c r="M74" s="33">
        <v>1.1149092082867247</v>
      </c>
      <c r="N74" s="33">
        <v>0.93953928476302129</v>
      </c>
      <c r="O74" s="33">
        <v>1.0550156400320998</v>
      </c>
      <c r="P74" s="33">
        <v>0.91948361982775073</v>
      </c>
    </row>
    <row r="75" spans="8:16" x14ac:dyDescent="0.25">
      <c r="H75" s="399">
        <v>42719</v>
      </c>
      <c r="I75" s="33">
        <v>86.835599999999999</v>
      </c>
      <c r="J75" s="33">
        <v>54.02</v>
      </c>
      <c r="L75" s="399">
        <v>42718</v>
      </c>
      <c r="M75" s="33">
        <v>1.1110259802813283</v>
      </c>
      <c r="N75" s="33">
        <v>0.95067951055151445</v>
      </c>
      <c r="O75" s="33">
        <v>1.0671631688029688</v>
      </c>
      <c r="P75" s="33">
        <v>0.93386587002884802</v>
      </c>
    </row>
    <row r="76" spans="8:16" x14ac:dyDescent="0.25">
      <c r="H76" s="399">
        <v>42718</v>
      </c>
      <c r="I76" s="33">
        <v>87.6267</v>
      </c>
      <c r="J76" s="33">
        <v>53.9</v>
      </c>
      <c r="L76" s="399">
        <v>42717</v>
      </c>
      <c r="M76" s="33">
        <v>1.1191431778232785</v>
      </c>
      <c r="N76" s="33">
        <v>0.95550801940176644</v>
      </c>
      <c r="O76" s="33">
        <v>1.0677833903600735</v>
      </c>
      <c r="P76" s="33">
        <v>0.93638050819326635</v>
      </c>
    </row>
    <row r="77" spans="8:16" x14ac:dyDescent="0.25">
      <c r="H77" s="399">
        <v>42717</v>
      </c>
      <c r="I77" s="33">
        <v>87.922399999999996</v>
      </c>
      <c r="J77" s="33">
        <v>55.72</v>
      </c>
      <c r="L77" s="399">
        <v>42716</v>
      </c>
      <c r="M77" s="33">
        <v>1.1126034075127724</v>
      </c>
      <c r="N77" s="33">
        <v>0.94546608945776645</v>
      </c>
      <c r="O77" s="33">
        <v>1.0610495185677733</v>
      </c>
      <c r="P77" s="33">
        <v>0.93557975237320434</v>
      </c>
    </row>
    <row r="78" spans="8:16" x14ac:dyDescent="0.25">
      <c r="H78" s="399">
        <v>42716</v>
      </c>
      <c r="I78" s="33">
        <v>88.176100000000005</v>
      </c>
      <c r="J78" s="33">
        <v>55.69</v>
      </c>
      <c r="L78" s="399">
        <v>42713</v>
      </c>
      <c r="M78" s="33">
        <v>1.1137408121942771</v>
      </c>
      <c r="N78" s="33">
        <v>0.93529289298486118</v>
      </c>
      <c r="O78" s="33">
        <v>1.0525815104483867</v>
      </c>
      <c r="P78" s="33">
        <v>0.95780947537111216</v>
      </c>
    </row>
    <row r="79" spans="8:16" x14ac:dyDescent="0.25">
      <c r="H79" s="399">
        <v>42713</v>
      </c>
      <c r="I79" s="33">
        <v>88.143100000000004</v>
      </c>
      <c r="J79" s="33">
        <v>54.33</v>
      </c>
      <c r="L79" s="399">
        <v>42712</v>
      </c>
      <c r="M79" s="33">
        <v>1.1078018666910028</v>
      </c>
      <c r="N79" s="33">
        <v>0.93813253935318008</v>
      </c>
      <c r="O79" s="33">
        <v>1.0569339241663274</v>
      </c>
      <c r="P79" s="33">
        <v>0.95234677606161577</v>
      </c>
    </row>
    <row r="80" spans="8:16" x14ac:dyDescent="0.25">
      <c r="H80" s="399">
        <v>42712</v>
      </c>
      <c r="I80" s="33">
        <v>87.566100000000006</v>
      </c>
      <c r="J80" s="33">
        <v>53.89</v>
      </c>
      <c r="L80" s="399">
        <v>42711</v>
      </c>
      <c r="M80" s="33">
        <v>1.1056424538371425</v>
      </c>
      <c r="N80" s="33">
        <v>0.93701228620558941</v>
      </c>
      <c r="O80" s="33">
        <v>1.0521774074434349</v>
      </c>
      <c r="P80" s="33">
        <v>0.9589117741803086</v>
      </c>
    </row>
    <row r="81" spans="8:16" x14ac:dyDescent="0.25">
      <c r="H81" s="399">
        <v>42711</v>
      </c>
      <c r="I81" s="33">
        <v>87.4726</v>
      </c>
      <c r="J81" s="33">
        <v>53</v>
      </c>
      <c r="L81" s="399">
        <v>42710</v>
      </c>
      <c r="M81" s="33">
        <v>1.0924792655610593</v>
      </c>
      <c r="N81" s="33">
        <v>0.92060765869569638</v>
      </c>
      <c r="O81" s="33">
        <v>1.0295153709648801</v>
      </c>
      <c r="P81" s="33">
        <v>0.95294767527991064</v>
      </c>
    </row>
    <row r="82" spans="8:16" x14ac:dyDescent="0.25">
      <c r="H82" s="399">
        <v>42710</v>
      </c>
      <c r="I82" s="33">
        <v>88.026600000000002</v>
      </c>
      <c r="J82" s="33">
        <v>53.93</v>
      </c>
      <c r="L82" s="399">
        <v>42709</v>
      </c>
      <c r="M82" s="33">
        <v>1.0890683861256685</v>
      </c>
      <c r="N82" s="33">
        <v>0.91006938768162682</v>
      </c>
      <c r="O82" s="33">
        <v>1.0261977955894892</v>
      </c>
      <c r="P82" s="33">
        <v>0.95666187653097357</v>
      </c>
    </row>
    <row r="83" spans="8:16" x14ac:dyDescent="0.25">
      <c r="H83" s="399">
        <v>42709</v>
      </c>
      <c r="I83" s="33">
        <v>88.3476</v>
      </c>
      <c r="J83" s="33">
        <v>54.94</v>
      </c>
      <c r="L83" s="399">
        <v>42706</v>
      </c>
      <c r="M83" s="33">
        <v>1.0832470854573137</v>
      </c>
      <c r="N83" s="33">
        <v>0.88886647788508055</v>
      </c>
      <c r="O83" s="33">
        <v>1.0011282221955122</v>
      </c>
      <c r="P83" s="33">
        <v>0.96643632702988524</v>
      </c>
    </row>
    <row r="84" spans="8:16" x14ac:dyDescent="0.25">
      <c r="H84" s="399">
        <v>42706</v>
      </c>
      <c r="I84" s="33">
        <v>87.041600000000003</v>
      </c>
      <c r="J84" s="33">
        <v>54.46</v>
      </c>
      <c r="L84" s="399">
        <v>42705</v>
      </c>
      <c r="M84" s="33">
        <v>1.0828500209959522</v>
      </c>
      <c r="N84" s="33">
        <v>0.88941456852738865</v>
      </c>
      <c r="O84" s="33">
        <v>0.99839666205337663</v>
      </c>
      <c r="P84" s="33">
        <v>0.97489062421091455</v>
      </c>
    </row>
    <row r="85" spans="8:16" x14ac:dyDescent="0.25">
      <c r="H85" s="399">
        <v>42705</v>
      </c>
      <c r="I85" s="33">
        <v>86.918599999999998</v>
      </c>
      <c r="J85" s="33">
        <v>53.94</v>
      </c>
      <c r="L85" s="399">
        <v>42704</v>
      </c>
      <c r="M85" s="33">
        <v>1.0863655589460253</v>
      </c>
      <c r="N85" s="33">
        <v>0.89373849670507588</v>
      </c>
      <c r="O85" s="33">
        <v>1.0059537161901404</v>
      </c>
      <c r="P85" s="33">
        <v>0.96538713617386218</v>
      </c>
    </row>
    <row r="86" spans="8:16" x14ac:dyDescent="0.25">
      <c r="H86" s="399">
        <v>42704</v>
      </c>
      <c r="I86" s="33">
        <v>86.001499999999993</v>
      </c>
      <c r="J86" s="33">
        <v>50.47</v>
      </c>
      <c r="L86" s="399">
        <v>42703</v>
      </c>
      <c r="M86" s="33">
        <v>1.0890190293224098</v>
      </c>
      <c r="N86" s="33">
        <v>0.89204360026906415</v>
      </c>
      <c r="O86" s="33">
        <v>1.0067282070725909</v>
      </c>
      <c r="P86" s="33">
        <v>0.97695575762472453</v>
      </c>
    </row>
    <row r="87" spans="8:16" x14ac:dyDescent="0.25">
      <c r="H87" s="399">
        <v>42703</v>
      </c>
      <c r="I87" s="33">
        <v>84.277299999999997</v>
      </c>
      <c r="J87" s="33">
        <v>46.38</v>
      </c>
      <c r="L87" s="399">
        <v>42702</v>
      </c>
      <c r="M87" s="33">
        <v>1.0876837096632341</v>
      </c>
      <c r="N87" s="33">
        <v>0.88088079331633851</v>
      </c>
      <c r="O87" s="33">
        <v>0.99917235072570598</v>
      </c>
      <c r="P87" s="33">
        <v>0.97207803690994354</v>
      </c>
    </row>
    <row r="88" spans="8:16" x14ac:dyDescent="0.25">
      <c r="H88" s="399">
        <v>42702</v>
      </c>
      <c r="I88" s="33">
        <v>86.066000000000003</v>
      </c>
      <c r="J88" s="33">
        <v>48.24</v>
      </c>
      <c r="L88" s="399">
        <v>42699</v>
      </c>
      <c r="M88" s="33">
        <v>1.0929381881686671</v>
      </c>
      <c r="N88" s="33">
        <v>0.89198773267104725</v>
      </c>
      <c r="O88" s="33">
        <v>1.0108172397150534</v>
      </c>
      <c r="P88" s="33">
        <v>0.9666023936156285</v>
      </c>
    </row>
    <row r="89" spans="8:16" x14ac:dyDescent="0.25">
      <c r="H89" s="399">
        <v>42699</v>
      </c>
      <c r="I89" s="33">
        <v>85.031899999999993</v>
      </c>
      <c r="J89" s="33">
        <v>47.24</v>
      </c>
      <c r="L89" s="399">
        <v>42697</v>
      </c>
      <c r="M89" s="33">
        <v>1.0890238589114372</v>
      </c>
      <c r="N89" s="33">
        <v>0.88320345720431992</v>
      </c>
      <c r="O89" s="33">
        <v>1.0039413047951298</v>
      </c>
      <c r="P89" s="33">
        <v>0.96019908559704747</v>
      </c>
    </row>
    <row r="90" spans="8:16" x14ac:dyDescent="0.25">
      <c r="H90" s="399">
        <v>42697</v>
      </c>
      <c r="I90" s="33">
        <v>85.357699999999994</v>
      </c>
      <c r="J90" s="33">
        <v>48.95</v>
      </c>
      <c r="L90" s="399">
        <v>42696</v>
      </c>
      <c r="M90" s="33">
        <v>1.0882158477990149</v>
      </c>
      <c r="N90" s="33">
        <v>0.89358205815380165</v>
      </c>
      <c r="O90" s="33">
        <v>1.0151089806877329</v>
      </c>
      <c r="P90" s="33">
        <v>0.96638967452504598</v>
      </c>
    </row>
    <row r="91" spans="8:16" x14ac:dyDescent="0.25">
      <c r="H91" s="399">
        <v>42696</v>
      </c>
      <c r="I91" s="33">
        <v>85.138599999999997</v>
      </c>
      <c r="J91" s="33">
        <v>49.12</v>
      </c>
      <c r="L91" s="399">
        <v>42695</v>
      </c>
      <c r="M91" s="33">
        <v>1.086050420036047</v>
      </c>
      <c r="N91" s="33">
        <v>0.88803836949574966</v>
      </c>
      <c r="O91" s="33">
        <v>1.010624904535633</v>
      </c>
      <c r="P91" s="33">
        <v>0.95590469139555068</v>
      </c>
    </row>
    <row r="92" spans="8:16" x14ac:dyDescent="0.25">
      <c r="H92" s="399">
        <v>42695</v>
      </c>
      <c r="I92" s="33">
        <v>84.885099999999994</v>
      </c>
      <c r="J92" s="33">
        <v>48.9</v>
      </c>
      <c r="L92" s="399">
        <v>42692</v>
      </c>
      <c r="M92" s="33">
        <v>1.0785890331713879</v>
      </c>
      <c r="N92" s="33">
        <v>0.88212276190290995</v>
      </c>
      <c r="O92" s="33">
        <v>1.0068031250545317</v>
      </c>
      <c r="P92" s="33">
        <v>0.94855357724959433</v>
      </c>
    </row>
    <row r="93" spans="8:16" x14ac:dyDescent="0.25">
      <c r="H93" s="399">
        <v>42692</v>
      </c>
      <c r="I93" s="33">
        <v>83.022000000000006</v>
      </c>
      <c r="J93" s="33">
        <v>46.86</v>
      </c>
      <c r="L93" s="399">
        <v>42691</v>
      </c>
      <c r="M93" s="33">
        <v>1.0809757334896144</v>
      </c>
      <c r="N93" s="33">
        <v>0.89368205234108422</v>
      </c>
      <c r="O93" s="33">
        <v>1.0134583556460126</v>
      </c>
      <c r="P93" s="33">
        <v>0.9547725818447983</v>
      </c>
    </row>
    <row r="94" spans="8:16" x14ac:dyDescent="0.25">
      <c r="H94" s="399">
        <v>42691</v>
      </c>
      <c r="I94" s="33">
        <v>82.727099999999993</v>
      </c>
      <c r="J94" s="33">
        <v>46.49</v>
      </c>
      <c r="L94" s="399">
        <v>42690</v>
      </c>
      <c r="M94" s="33">
        <v>1.0762994447540501</v>
      </c>
      <c r="N94" s="33">
        <v>0.89422171339218925</v>
      </c>
      <c r="O94" s="33">
        <v>1.0170472403655446</v>
      </c>
      <c r="P94" s="33">
        <v>0.95425175548327479</v>
      </c>
    </row>
    <row r="95" spans="8:16" x14ac:dyDescent="0.25">
      <c r="H95" s="399">
        <v>42690</v>
      </c>
      <c r="I95" s="33">
        <v>82.766300000000001</v>
      </c>
      <c r="J95" s="33">
        <v>46.63</v>
      </c>
      <c r="L95" s="399">
        <v>42689</v>
      </c>
      <c r="M95" s="33">
        <v>1.0778817304919226</v>
      </c>
      <c r="N95" s="33">
        <v>0.90530229385393768</v>
      </c>
      <c r="O95" s="33">
        <v>1.0271105665756455</v>
      </c>
      <c r="P95" s="33">
        <v>0.95742592025950368</v>
      </c>
    </row>
    <row r="96" spans="8:16" x14ac:dyDescent="0.25">
      <c r="H96" s="399">
        <v>42689</v>
      </c>
      <c r="I96" s="33">
        <v>83.278999999999996</v>
      </c>
      <c r="J96" s="33">
        <v>46.95</v>
      </c>
      <c r="L96" s="399">
        <v>42688</v>
      </c>
      <c r="M96" s="33">
        <v>1.0704009061688473</v>
      </c>
      <c r="N96" s="33">
        <v>0.90353231573437043</v>
      </c>
      <c r="O96" s="33">
        <v>1.0247288024380157</v>
      </c>
      <c r="P96" s="33">
        <v>0.95995158224888266</v>
      </c>
    </row>
    <row r="97" spans="8:16" x14ac:dyDescent="0.25">
      <c r="H97" s="399">
        <v>42688</v>
      </c>
      <c r="I97" s="33">
        <v>82.3429</v>
      </c>
      <c r="J97" s="33">
        <v>44.43</v>
      </c>
      <c r="L97" s="399">
        <v>42685</v>
      </c>
      <c r="M97" s="33">
        <v>1.0705164089524644</v>
      </c>
      <c r="N97" s="33">
        <v>0.91055858990147787</v>
      </c>
      <c r="O97" s="33">
        <v>1.0325616021429678</v>
      </c>
      <c r="P97" s="33">
        <v>0.96154173259315767</v>
      </c>
    </row>
    <row r="98" spans="8:16" x14ac:dyDescent="0.25">
      <c r="H98" s="399">
        <v>42685</v>
      </c>
      <c r="I98" s="33">
        <v>82.375399999999999</v>
      </c>
      <c r="J98" s="33">
        <v>44.75</v>
      </c>
      <c r="L98" s="399">
        <v>42684</v>
      </c>
      <c r="M98" s="33">
        <v>1.0719143457269675</v>
      </c>
      <c r="N98" s="33">
        <v>0.91882838459354255</v>
      </c>
      <c r="O98" s="33">
        <v>1.0318593559018523</v>
      </c>
      <c r="P98" s="33">
        <v>0.95234183459240529</v>
      </c>
    </row>
    <row r="99" spans="8:16" x14ac:dyDescent="0.25">
      <c r="H99" s="399">
        <v>42684</v>
      </c>
      <c r="I99" s="33">
        <v>83.84</v>
      </c>
      <c r="J99" s="33">
        <v>45.84</v>
      </c>
      <c r="L99" s="399">
        <v>42683</v>
      </c>
      <c r="M99" s="33">
        <v>1.0699635862251045</v>
      </c>
      <c r="N99" s="33">
        <v>0.92637619473269273</v>
      </c>
      <c r="O99" s="33">
        <v>1.037733321034823</v>
      </c>
      <c r="P99" s="33">
        <v>0.94109390787347103</v>
      </c>
    </row>
    <row r="100" spans="8:16" x14ac:dyDescent="0.25">
      <c r="H100" s="399">
        <v>42683</v>
      </c>
      <c r="I100" s="33">
        <v>83.908699999999996</v>
      </c>
      <c r="J100" s="33">
        <v>46.36</v>
      </c>
      <c r="L100" s="399">
        <v>42682</v>
      </c>
      <c r="M100" s="33">
        <v>1.0588865423469236</v>
      </c>
      <c r="N100" s="33">
        <v>0.92321096079622134</v>
      </c>
      <c r="O100" s="33">
        <v>1.029856984840789</v>
      </c>
      <c r="P100" s="33">
        <v>0.9496472824997948</v>
      </c>
    </row>
    <row r="101" spans="8:16" x14ac:dyDescent="0.25">
      <c r="H101" s="399">
        <v>42682</v>
      </c>
      <c r="I101" s="33">
        <v>83.781400000000005</v>
      </c>
      <c r="J101" s="33">
        <v>46.04</v>
      </c>
      <c r="L101" s="399">
        <v>42681</v>
      </c>
      <c r="M101" s="33">
        <v>1.0551145861841853</v>
      </c>
      <c r="N101" s="33">
        <v>0.92032849207290579</v>
      </c>
      <c r="O101" s="33">
        <v>1.0292463320789675</v>
      </c>
      <c r="P101" s="33">
        <v>0.94452812165701117</v>
      </c>
    </row>
    <row r="102" spans="8:16" x14ac:dyDescent="0.25">
      <c r="H102" s="399">
        <v>42681</v>
      </c>
      <c r="I102" s="33">
        <v>83.822400000000002</v>
      </c>
      <c r="J102" s="33">
        <v>46.15</v>
      </c>
      <c r="L102" s="399">
        <v>42678</v>
      </c>
      <c r="M102" s="33">
        <v>1.0328910850955499</v>
      </c>
      <c r="N102" s="33">
        <v>0.90839539652707169</v>
      </c>
      <c r="O102" s="33">
        <v>1.0165666030478886</v>
      </c>
      <c r="P102" s="33">
        <v>0.94604094229126456</v>
      </c>
    </row>
    <row r="103" spans="8:16" x14ac:dyDescent="0.25">
      <c r="H103" s="399">
        <v>42678</v>
      </c>
      <c r="I103" s="33">
        <v>83.294300000000007</v>
      </c>
      <c r="J103" s="33">
        <v>45.58</v>
      </c>
      <c r="L103" s="399">
        <v>42677</v>
      </c>
      <c r="M103" s="33">
        <v>1.034557225108764</v>
      </c>
      <c r="N103" s="33">
        <v>0.91459290761293843</v>
      </c>
      <c r="O103" s="33">
        <v>1.0228521372719714</v>
      </c>
      <c r="P103" s="33">
        <v>0.94767047326044929</v>
      </c>
    </row>
    <row r="104" spans="8:16" x14ac:dyDescent="0.25">
      <c r="H104" s="399">
        <v>42677</v>
      </c>
      <c r="I104" s="33">
        <v>83.605400000000003</v>
      </c>
      <c r="J104" s="33">
        <v>46.35</v>
      </c>
      <c r="L104" s="399">
        <v>42676</v>
      </c>
      <c r="M104" s="33">
        <v>1.0389806118595768</v>
      </c>
      <c r="N104" s="33">
        <v>0.91566581940872593</v>
      </c>
      <c r="O104" s="33">
        <v>1.0260299075813295</v>
      </c>
      <c r="P104" s="33">
        <v>0.94035975474001021</v>
      </c>
    </row>
    <row r="105" spans="8:16" x14ac:dyDescent="0.25">
      <c r="H105" s="399">
        <v>42676</v>
      </c>
      <c r="I105" s="33">
        <v>83.888900000000007</v>
      </c>
      <c r="J105" s="33">
        <v>46.86</v>
      </c>
      <c r="L105" s="399">
        <v>42675</v>
      </c>
      <c r="M105" s="33">
        <v>1.045506098192992</v>
      </c>
      <c r="N105" s="33">
        <v>0.92595961318177888</v>
      </c>
      <c r="O105" s="33">
        <v>1.0368559706842753</v>
      </c>
      <c r="P105" s="33">
        <v>0.94484387734600861</v>
      </c>
    </row>
    <row r="106" spans="8:16" x14ac:dyDescent="0.25">
      <c r="H106" s="399">
        <v>42675</v>
      </c>
      <c r="I106" s="33">
        <v>84.513300000000001</v>
      </c>
      <c r="J106" s="33">
        <v>48.14</v>
      </c>
      <c r="L106" s="399">
        <v>42674</v>
      </c>
      <c r="M106" s="33">
        <v>1.0522930135094093</v>
      </c>
      <c r="N106" s="33">
        <v>0.92807219779839789</v>
      </c>
      <c r="O106" s="33">
        <v>1.0415025073501489</v>
      </c>
      <c r="P106" s="33">
        <v>0.93639593121095221</v>
      </c>
    </row>
    <row r="107" spans="8:16" x14ac:dyDescent="0.25">
      <c r="H107" s="399">
        <v>42674</v>
      </c>
      <c r="I107" s="33">
        <v>84.9011</v>
      </c>
      <c r="J107" s="33">
        <v>48.3</v>
      </c>
      <c r="L107" s="399">
        <v>42671</v>
      </c>
      <c r="M107" s="33">
        <v>1.0524152853196433</v>
      </c>
      <c r="N107" s="33">
        <v>0.93377708256727932</v>
      </c>
      <c r="O107" s="33">
        <v>1.0423213777205187</v>
      </c>
      <c r="P107" s="33">
        <v>0.936196621838564</v>
      </c>
    </row>
    <row r="108" spans="8:16" x14ac:dyDescent="0.25">
      <c r="H108" s="399">
        <v>42671</v>
      </c>
      <c r="I108" s="33">
        <v>85.911900000000003</v>
      </c>
      <c r="J108" s="33">
        <v>49.71</v>
      </c>
      <c r="L108" s="399">
        <v>42670</v>
      </c>
      <c r="M108" s="33">
        <v>1.0555235252026272</v>
      </c>
      <c r="N108" s="33">
        <v>0.93130072513313866</v>
      </c>
      <c r="O108" s="33">
        <v>1.0398722555437612</v>
      </c>
      <c r="P108" s="33">
        <v>0.93785087602138262</v>
      </c>
    </row>
    <row r="109" spans="8:16" x14ac:dyDescent="0.25">
      <c r="H109" s="399">
        <v>42670</v>
      </c>
      <c r="I109" s="33">
        <v>86.216200000000001</v>
      </c>
      <c r="J109" s="33">
        <v>50.47</v>
      </c>
      <c r="L109" s="399">
        <v>42669</v>
      </c>
      <c r="M109" s="33">
        <v>1.0585103020544055</v>
      </c>
      <c r="N109" s="33">
        <v>0.93177612265619758</v>
      </c>
      <c r="O109" s="33">
        <v>1.0410153660976116</v>
      </c>
      <c r="P109" s="33">
        <v>0.94138901120405483</v>
      </c>
    </row>
    <row r="110" spans="8:16" x14ac:dyDescent="0.25">
      <c r="H110" s="399">
        <v>42669</v>
      </c>
      <c r="I110" s="33">
        <v>85.540499999999994</v>
      </c>
      <c r="J110" s="33">
        <v>49.98</v>
      </c>
      <c r="L110" s="399">
        <v>42668</v>
      </c>
      <c r="M110" s="33">
        <v>1.0602507227416154</v>
      </c>
      <c r="N110" s="33">
        <v>0.93193457330146701</v>
      </c>
      <c r="O110" s="33">
        <v>1.0435233822372201</v>
      </c>
      <c r="P110" s="33">
        <v>0.9467017600683143</v>
      </c>
    </row>
    <row r="111" spans="8:16" x14ac:dyDescent="0.25">
      <c r="H111" s="399">
        <v>42668</v>
      </c>
      <c r="I111" s="33">
        <v>86.0107</v>
      </c>
      <c r="J111" s="33">
        <v>50.79</v>
      </c>
      <c r="L111" s="399">
        <v>42667</v>
      </c>
      <c r="M111" s="33">
        <v>1.0640483734971946</v>
      </c>
      <c r="N111" s="33">
        <v>0.93282682678234696</v>
      </c>
      <c r="O111" s="33">
        <v>1.0426874682217568</v>
      </c>
      <c r="P111" s="33">
        <v>0.94510744178374062</v>
      </c>
    </row>
    <row r="112" spans="8:16" x14ac:dyDescent="0.25">
      <c r="H112" s="399">
        <v>42667</v>
      </c>
      <c r="I112" s="33">
        <v>86.150099999999995</v>
      </c>
      <c r="J112" s="33">
        <v>51.46</v>
      </c>
      <c r="L112" s="399">
        <v>42664</v>
      </c>
      <c r="M112" s="33">
        <v>1.0592986116858403</v>
      </c>
      <c r="N112" s="33">
        <v>0.92718996720706892</v>
      </c>
      <c r="O112" s="33">
        <v>1.0376086410209928</v>
      </c>
      <c r="P112" s="33">
        <v>0.9341891080529674</v>
      </c>
    </row>
    <row r="113" spans="8:16" x14ac:dyDescent="0.25">
      <c r="H113" s="399">
        <v>42664</v>
      </c>
      <c r="I113" s="33">
        <v>86.1053</v>
      </c>
      <c r="J113" s="33">
        <v>51.78</v>
      </c>
      <c r="L113" s="399">
        <v>42663</v>
      </c>
      <c r="M113" s="33">
        <v>1.0593826711999763</v>
      </c>
      <c r="N113" s="33">
        <v>0.93334756239791239</v>
      </c>
      <c r="O113" s="33">
        <v>1.043228423235365</v>
      </c>
      <c r="P113" s="33">
        <v>0.93558407284750911</v>
      </c>
    </row>
    <row r="114" spans="8:16" x14ac:dyDescent="0.25">
      <c r="H114" s="399">
        <v>42663</v>
      </c>
      <c r="I114" s="33">
        <v>86.021500000000003</v>
      </c>
      <c r="J114" s="33">
        <v>51.38</v>
      </c>
      <c r="L114" s="399">
        <v>42662</v>
      </c>
      <c r="M114" s="33">
        <v>1.0607584179506491</v>
      </c>
      <c r="N114" s="33">
        <v>0.92868836734154825</v>
      </c>
      <c r="O114" s="33">
        <v>1.0401033013740353</v>
      </c>
      <c r="P114" s="33">
        <v>0.93704870667378071</v>
      </c>
    </row>
    <row r="115" spans="8:16" x14ac:dyDescent="0.25">
      <c r="H115" s="399">
        <v>42662</v>
      </c>
      <c r="I115" s="33">
        <v>86.8947</v>
      </c>
      <c r="J115" s="33">
        <v>52.67</v>
      </c>
      <c r="L115" s="399">
        <v>42661</v>
      </c>
      <c r="M115" s="33">
        <v>1.0585664194462554</v>
      </c>
      <c r="N115" s="33">
        <v>0.92775875766693972</v>
      </c>
      <c r="O115" s="33">
        <v>1.0407787302110423</v>
      </c>
      <c r="P115" s="33">
        <v>0.93674538162763654</v>
      </c>
    </row>
    <row r="116" spans="8:16" x14ac:dyDescent="0.25">
      <c r="H116" s="399">
        <v>42661</v>
      </c>
      <c r="I116" s="33">
        <v>86.553899999999999</v>
      </c>
      <c r="J116" s="33">
        <v>51.68</v>
      </c>
      <c r="L116" s="399">
        <v>42660</v>
      </c>
      <c r="M116" s="33">
        <v>1.0524060620514755</v>
      </c>
      <c r="N116" s="33">
        <v>0.91605168379079571</v>
      </c>
      <c r="O116" s="33">
        <v>1.0296064420983613</v>
      </c>
      <c r="P116" s="33">
        <v>0.92166219508721747</v>
      </c>
    </row>
    <row r="117" spans="8:16" x14ac:dyDescent="0.25">
      <c r="H117" s="399">
        <v>42660</v>
      </c>
      <c r="I117" s="33">
        <v>86.387699999999995</v>
      </c>
      <c r="J117" s="33">
        <v>51.52</v>
      </c>
      <c r="L117" s="399">
        <v>42657</v>
      </c>
      <c r="M117" s="33">
        <v>1.0554440652207502</v>
      </c>
      <c r="N117" s="33">
        <v>0.92095322847832306</v>
      </c>
      <c r="O117" s="33">
        <v>1.0363243241804394</v>
      </c>
      <c r="P117" s="33">
        <v>0.9303194899683882</v>
      </c>
    </row>
    <row r="118" spans="8:16" x14ac:dyDescent="0.25">
      <c r="H118" s="399">
        <v>42657</v>
      </c>
      <c r="I118" s="33">
        <v>86.340500000000006</v>
      </c>
      <c r="J118" s="33">
        <v>51.95</v>
      </c>
      <c r="L118" s="399">
        <v>42656</v>
      </c>
      <c r="M118" s="33">
        <v>1.0552424286823339</v>
      </c>
      <c r="N118" s="33">
        <v>0.9082411416052989</v>
      </c>
      <c r="O118" s="33">
        <v>1.0244958063622986</v>
      </c>
      <c r="P118" s="33">
        <v>0.92963403796255495</v>
      </c>
    </row>
    <row r="119" spans="8:16" x14ac:dyDescent="0.25">
      <c r="H119" s="399">
        <v>42656</v>
      </c>
      <c r="I119" s="33">
        <v>86.281300000000002</v>
      </c>
      <c r="J119" s="33">
        <v>52.03</v>
      </c>
      <c r="L119" s="399">
        <v>42655</v>
      </c>
      <c r="M119" s="33">
        <v>1.0583417471127605</v>
      </c>
      <c r="N119" s="33">
        <v>0.91831177418275001</v>
      </c>
      <c r="O119" s="33">
        <v>1.0339567717873526</v>
      </c>
      <c r="P119" s="33">
        <v>0.92870297367389454</v>
      </c>
    </row>
    <row r="120" spans="8:16" x14ac:dyDescent="0.25">
      <c r="H120" s="399">
        <v>42655</v>
      </c>
      <c r="I120" s="33">
        <v>85.649000000000001</v>
      </c>
      <c r="J120" s="33">
        <v>51.81</v>
      </c>
      <c r="L120" s="399">
        <v>42654</v>
      </c>
      <c r="M120" s="33">
        <v>1.0571951352338615</v>
      </c>
      <c r="N120" s="33">
        <v>0.92601142931810898</v>
      </c>
      <c r="O120" s="33">
        <v>1.0425759423479182</v>
      </c>
      <c r="P120" s="33">
        <v>0.93145423978649688</v>
      </c>
    </row>
    <row r="121" spans="8:16" x14ac:dyDescent="0.25">
      <c r="H121" s="399">
        <v>42654</v>
      </c>
      <c r="I121" s="33">
        <v>86.176400000000001</v>
      </c>
      <c r="J121" s="33">
        <v>52.41</v>
      </c>
      <c r="L121" s="399">
        <v>42653</v>
      </c>
      <c r="M121" s="33">
        <v>1.0696416379191263</v>
      </c>
      <c r="N121" s="33">
        <v>0.93767227941556319</v>
      </c>
      <c r="O121" s="33">
        <v>1.0536926736032042</v>
      </c>
      <c r="P121" s="33">
        <v>0.92845933885384291</v>
      </c>
    </row>
    <row r="122" spans="8:16" x14ac:dyDescent="0.25">
      <c r="H122" s="399">
        <v>42653</v>
      </c>
      <c r="I122" s="33">
        <v>86.757099999999994</v>
      </c>
      <c r="J122" s="33">
        <v>53.14</v>
      </c>
      <c r="L122" s="399">
        <v>42650</v>
      </c>
      <c r="M122" s="33">
        <v>1.0650356966263055</v>
      </c>
      <c r="N122" s="33">
        <v>0.92811872827788777</v>
      </c>
      <c r="O122" s="33">
        <v>1.0431703135086261</v>
      </c>
      <c r="P122" s="33">
        <v>0.92006791201686933</v>
      </c>
    </row>
    <row r="123" spans="8:16" x14ac:dyDescent="0.25">
      <c r="H123" s="399">
        <v>42650</v>
      </c>
      <c r="I123" s="33">
        <v>85.641400000000004</v>
      </c>
      <c r="J123" s="33">
        <v>51.93</v>
      </c>
      <c r="L123" s="399">
        <v>42649</v>
      </c>
      <c r="M123" s="33">
        <v>1.0682891664541909</v>
      </c>
      <c r="N123" s="33">
        <v>0.93444922632150851</v>
      </c>
      <c r="O123" s="33">
        <v>1.049922239369768</v>
      </c>
      <c r="P123" s="33">
        <v>0.92006791201686933</v>
      </c>
    </row>
    <row r="124" spans="8:16" x14ac:dyDescent="0.25">
      <c r="H124" s="399">
        <v>42649</v>
      </c>
      <c r="I124" s="33">
        <v>85.512900000000002</v>
      </c>
      <c r="J124" s="33">
        <v>52.51</v>
      </c>
      <c r="L124" s="399">
        <v>42648</v>
      </c>
      <c r="M124" s="33">
        <v>1.0678076247800004</v>
      </c>
      <c r="N124" s="33">
        <v>0.94001173965361562</v>
      </c>
      <c r="O124" s="33">
        <v>1.0555355863812821</v>
      </c>
      <c r="P124" s="33">
        <v>0.92006791201686933</v>
      </c>
    </row>
    <row r="125" spans="8:16" x14ac:dyDescent="0.25">
      <c r="H125" s="399">
        <v>42648</v>
      </c>
      <c r="I125" s="33">
        <v>85.715900000000005</v>
      </c>
      <c r="J125" s="33">
        <v>51.86</v>
      </c>
      <c r="L125" s="399">
        <v>42647</v>
      </c>
      <c r="M125" s="33">
        <v>1.0635109296082019</v>
      </c>
      <c r="N125" s="33">
        <v>0.94000374843463819</v>
      </c>
      <c r="O125" s="33">
        <v>1.0576526223932765</v>
      </c>
      <c r="P125" s="33">
        <v>0.92006791201686933</v>
      </c>
    </row>
    <row r="126" spans="8:16" x14ac:dyDescent="0.25">
      <c r="H126" s="399">
        <v>42647</v>
      </c>
      <c r="I126" s="33">
        <v>85.150800000000004</v>
      </c>
      <c r="J126" s="33">
        <v>50.87</v>
      </c>
      <c r="L126" s="399">
        <v>42646</v>
      </c>
      <c r="M126" s="33">
        <v>1.0684665098414059</v>
      </c>
      <c r="N126" s="33">
        <v>0.93182678302794364</v>
      </c>
      <c r="O126" s="33">
        <v>1.0503809097477816</v>
      </c>
      <c r="P126" s="33">
        <v>0.92006791201686933</v>
      </c>
    </row>
    <row r="127" spans="8:16" x14ac:dyDescent="0.25">
      <c r="H127" s="399">
        <v>42646</v>
      </c>
      <c r="I127" s="33">
        <v>85.604600000000005</v>
      </c>
      <c r="J127" s="33">
        <v>50.89</v>
      </c>
      <c r="L127" s="399">
        <v>42643</v>
      </c>
      <c r="M127" s="33">
        <v>1.0717271738730996</v>
      </c>
      <c r="N127" s="33">
        <v>0.93396203706783631</v>
      </c>
      <c r="O127" s="33">
        <v>1.0503809097477816</v>
      </c>
      <c r="P127" s="33">
        <v>0.92006791201686933</v>
      </c>
    </row>
    <row r="128" spans="8:16" x14ac:dyDescent="0.25">
      <c r="H128" s="399">
        <v>42643</v>
      </c>
      <c r="I128" s="33">
        <v>85.341999999999999</v>
      </c>
      <c r="J128" s="33">
        <v>49.06</v>
      </c>
      <c r="L128" s="399">
        <v>42642</v>
      </c>
      <c r="M128" s="33">
        <v>1.0637592686325981</v>
      </c>
      <c r="N128" s="33">
        <v>0.92995163074259835</v>
      </c>
      <c r="O128" s="33">
        <v>1.0397940212951338</v>
      </c>
      <c r="P128" s="33">
        <v>0.91856460248951066</v>
      </c>
    </row>
    <row r="129" spans="8:16" x14ac:dyDescent="0.25">
      <c r="H129" s="399">
        <v>42642</v>
      </c>
      <c r="I129" s="33">
        <v>85.223799999999997</v>
      </c>
      <c r="J129" s="33">
        <v>49.24</v>
      </c>
      <c r="L129" s="399">
        <v>42641</v>
      </c>
      <c r="M129" s="33">
        <v>1.0730805726940891</v>
      </c>
      <c r="N129" s="33">
        <v>0.92854531633063919</v>
      </c>
      <c r="O129" s="33">
        <v>1.0416911925943628</v>
      </c>
      <c r="P129" s="33">
        <v>0.91315581339656404</v>
      </c>
    </row>
    <row r="130" spans="8:16" x14ac:dyDescent="0.25">
      <c r="H130" s="399">
        <v>42641</v>
      </c>
      <c r="I130" s="33">
        <v>85.142399999999995</v>
      </c>
      <c r="J130" s="33">
        <v>48.69</v>
      </c>
      <c r="L130" s="399">
        <v>42640</v>
      </c>
      <c r="M130" s="33">
        <v>1.0677841047529983</v>
      </c>
      <c r="N130" s="33">
        <v>0.9226197489799095</v>
      </c>
      <c r="O130" s="33">
        <v>1.0351713511389602</v>
      </c>
      <c r="P130" s="33">
        <v>0.91777554529138827</v>
      </c>
    </row>
    <row r="131" spans="8:16" x14ac:dyDescent="0.25">
      <c r="H131" s="399">
        <v>42640</v>
      </c>
      <c r="I131" s="33">
        <v>84.143500000000003</v>
      </c>
      <c r="J131" s="33">
        <v>45.97</v>
      </c>
      <c r="L131" s="399">
        <v>42639</v>
      </c>
      <c r="M131" s="33">
        <v>1.0613398570478587</v>
      </c>
      <c r="N131" s="33">
        <v>0.9273295971512745</v>
      </c>
      <c r="O131" s="33">
        <v>1.0412842636182695</v>
      </c>
      <c r="P131" s="33">
        <v>0.91256182850209377</v>
      </c>
    </row>
    <row r="132" spans="8:16" x14ac:dyDescent="0.25">
      <c r="H132" s="399">
        <v>42639</v>
      </c>
      <c r="I132" s="33">
        <v>84.861500000000007</v>
      </c>
      <c r="J132" s="33">
        <v>47.35</v>
      </c>
      <c r="L132" s="399">
        <v>42636</v>
      </c>
      <c r="M132" s="33">
        <v>1.0699276917955594</v>
      </c>
      <c r="N132" s="33">
        <v>0.94410436642704454</v>
      </c>
      <c r="O132" s="33">
        <v>1.0614054353896432</v>
      </c>
      <c r="P132" s="33">
        <v>0.92925581218098952</v>
      </c>
    </row>
    <row r="133" spans="8:16" x14ac:dyDescent="0.25">
      <c r="H133" s="399">
        <v>42636</v>
      </c>
      <c r="I133" s="33">
        <v>84.322100000000006</v>
      </c>
      <c r="J133" s="33">
        <v>45.89</v>
      </c>
      <c r="L133" s="399">
        <v>42635</v>
      </c>
      <c r="M133" s="33">
        <v>1.0756644705644254</v>
      </c>
      <c r="N133" s="33">
        <v>0.95010091829174259</v>
      </c>
      <c r="O133" s="33">
        <v>1.0654735769262134</v>
      </c>
      <c r="P133" s="33">
        <v>0.93318910895321272</v>
      </c>
    </row>
    <row r="134" spans="8:16" x14ac:dyDescent="0.25">
      <c r="H134" s="399">
        <v>42635</v>
      </c>
      <c r="I134" s="33">
        <v>85.508399999999995</v>
      </c>
      <c r="J134" s="33">
        <v>47.65</v>
      </c>
      <c r="L134" s="399">
        <v>42634</v>
      </c>
      <c r="M134" s="33">
        <v>1.069164600007082</v>
      </c>
      <c r="N134" s="33">
        <v>0.92046498836452884</v>
      </c>
      <c r="O134" s="33">
        <v>1.0363745568263636</v>
      </c>
      <c r="P134" s="33">
        <v>0.92692582527528278</v>
      </c>
    </row>
    <row r="135" spans="8:16" x14ac:dyDescent="0.25">
      <c r="H135" s="399">
        <v>42634</v>
      </c>
      <c r="I135" s="33">
        <v>84.908100000000005</v>
      </c>
      <c r="J135" s="33">
        <v>46.83</v>
      </c>
      <c r="L135" s="399">
        <v>42633</v>
      </c>
      <c r="M135" s="33">
        <v>1.0582474878075834</v>
      </c>
      <c r="N135" s="33">
        <v>0.91516381971021588</v>
      </c>
      <c r="O135" s="33">
        <v>1.0328127060734991</v>
      </c>
      <c r="P135" s="33">
        <v>0.92546446958206152</v>
      </c>
    </row>
    <row r="136" spans="8:16" x14ac:dyDescent="0.25">
      <c r="H136" s="399">
        <v>42633</v>
      </c>
      <c r="I136" s="33">
        <v>84.287599999999998</v>
      </c>
      <c r="J136" s="33">
        <v>45.88</v>
      </c>
      <c r="L136" s="399">
        <v>42632</v>
      </c>
      <c r="M136" s="33">
        <v>1.0579482993562572</v>
      </c>
      <c r="N136" s="33">
        <v>0.91739846550631543</v>
      </c>
      <c r="O136" s="33">
        <v>1.0319614290812957</v>
      </c>
      <c r="P136" s="33">
        <v>0.92690743615160676</v>
      </c>
    </row>
    <row r="137" spans="8:16" x14ac:dyDescent="0.25">
      <c r="H137" s="399">
        <v>42632</v>
      </c>
      <c r="I137" s="33">
        <v>83.606300000000005</v>
      </c>
      <c r="J137" s="33">
        <v>45.95</v>
      </c>
      <c r="L137" s="399">
        <v>42629</v>
      </c>
      <c r="M137" s="33">
        <v>1.0579669982848086</v>
      </c>
      <c r="N137" s="33">
        <v>0.90486708400245464</v>
      </c>
      <c r="O137" s="33">
        <v>1.0211879095925762</v>
      </c>
      <c r="P137" s="33">
        <v>0.91872705854781089</v>
      </c>
    </row>
    <row r="138" spans="8:16" x14ac:dyDescent="0.25">
      <c r="H138" s="399">
        <v>42629</v>
      </c>
      <c r="I138" s="33">
        <v>83.235699999999994</v>
      </c>
      <c r="J138" s="33">
        <v>45.77</v>
      </c>
      <c r="L138" s="399">
        <v>42628</v>
      </c>
      <c r="M138" s="33">
        <v>1.0617392475699443</v>
      </c>
      <c r="N138" s="33">
        <v>0.92475653874663943</v>
      </c>
      <c r="O138" s="33">
        <v>1.0429728598482875</v>
      </c>
      <c r="P138" s="33">
        <v>0.91872705854781089</v>
      </c>
    </row>
    <row r="139" spans="8:16" x14ac:dyDescent="0.25">
      <c r="H139" s="399">
        <v>42628</v>
      </c>
      <c r="I139" s="33">
        <v>83.082899999999995</v>
      </c>
      <c r="J139" s="33">
        <v>46.59</v>
      </c>
      <c r="L139" s="399">
        <v>42627</v>
      </c>
      <c r="M139" s="33">
        <v>1.0516299695201083</v>
      </c>
      <c r="N139" s="33">
        <v>0.92283430624995599</v>
      </c>
      <c r="O139" s="33">
        <v>1.0389571017031374</v>
      </c>
      <c r="P139" s="33">
        <v>0.91872705854781089</v>
      </c>
    </row>
    <row r="140" spans="8:16" x14ac:dyDescent="0.25">
      <c r="H140" s="399">
        <v>42627</v>
      </c>
      <c r="I140" s="33">
        <v>82.672200000000004</v>
      </c>
      <c r="J140" s="33">
        <v>45.85</v>
      </c>
      <c r="L140" s="399">
        <v>42626</v>
      </c>
      <c r="M140" s="33">
        <v>1.0522176461757109</v>
      </c>
      <c r="N140" s="33">
        <v>0.9244767932214768</v>
      </c>
      <c r="O140" s="33">
        <v>1.0380566963842326</v>
      </c>
      <c r="P140" s="33">
        <v>0.9231480978700628</v>
      </c>
    </row>
    <row r="141" spans="8:16" x14ac:dyDescent="0.25">
      <c r="H141" s="399">
        <v>42626</v>
      </c>
      <c r="I141" s="33">
        <v>83.019599999999997</v>
      </c>
      <c r="J141" s="33">
        <v>47.1</v>
      </c>
      <c r="L141" s="399">
        <v>42625</v>
      </c>
      <c r="M141" s="33">
        <v>1.0670483116566656</v>
      </c>
      <c r="N141" s="33">
        <v>0.93720368548783028</v>
      </c>
      <c r="O141" s="33">
        <v>1.042475345642746</v>
      </c>
      <c r="P141" s="33">
        <v>0.92271583513324984</v>
      </c>
    </row>
    <row r="142" spans="8:16" x14ac:dyDescent="0.25">
      <c r="H142" s="399">
        <v>42625</v>
      </c>
      <c r="I142" s="33">
        <v>84.083399999999997</v>
      </c>
      <c r="J142" s="33">
        <v>48.32</v>
      </c>
      <c r="L142" s="399">
        <v>42622</v>
      </c>
      <c r="M142" s="33">
        <v>1.0523712493249722</v>
      </c>
      <c r="N142" s="33">
        <v>0.94856176087192967</v>
      </c>
      <c r="O142" s="33">
        <v>1.0540266932237152</v>
      </c>
      <c r="P142" s="33">
        <v>0.9397653250639193</v>
      </c>
    </row>
    <row r="143" spans="8:16" x14ac:dyDescent="0.25">
      <c r="H143" s="399">
        <v>42622</v>
      </c>
      <c r="I143" s="33">
        <v>84.024199999999993</v>
      </c>
      <c r="J143" s="33">
        <v>48.01</v>
      </c>
      <c r="L143" s="399">
        <v>42621</v>
      </c>
      <c r="M143" s="33">
        <v>1.0768933233175457</v>
      </c>
      <c r="N143" s="33">
        <v>0.96104272965283255</v>
      </c>
      <c r="O143" s="33">
        <v>1.0662097804963171</v>
      </c>
      <c r="P143" s="33">
        <v>0.94926946762827624</v>
      </c>
    </row>
    <row r="144" spans="8:16" x14ac:dyDescent="0.25">
      <c r="H144" s="399">
        <v>42621</v>
      </c>
      <c r="I144" s="33">
        <v>85.147800000000004</v>
      </c>
      <c r="J144" s="33">
        <v>49.99</v>
      </c>
      <c r="L144" s="399">
        <v>42620</v>
      </c>
      <c r="M144" s="33">
        <v>1.079116399396149</v>
      </c>
      <c r="N144" s="33">
        <v>0.96251474199317322</v>
      </c>
      <c r="O144" s="33">
        <v>1.0722857486375492</v>
      </c>
      <c r="P144" s="33">
        <v>0.94892829532533973</v>
      </c>
    </row>
    <row r="145" spans="8:16" x14ac:dyDescent="0.25">
      <c r="H145" s="399">
        <v>42620</v>
      </c>
      <c r="I145" s="33">
        <v>83.930400000000006</v>
      </c>
      <c r="J145" s="33">
        <v>47.98</v>
      </c>
      <c r="L145" s="399">
        <v>42619</v>
      </c>
      <c r="M145" s="33">
        <v>1.079262753353194</v>
      </c>
      <c r="N145" s="33">
        <v>0.95631809851367944</v>
      </c>
      <c r="O145" s="33">
        <v>1.0669305696922753</v>
      </c>
      <c r="P145" s="33">
        <v>0.94512618121918091</v>
      </c>
    </row>
    <row r="146" spans="8:16" x14ac:dyDescent="0.25">
      <c r="H146" s="399">
        <v>42619</v>
      </c>
      <c r="I146" s="33">
        <v>83.386499999999998</v>
      </c>
      <c r="J146" s="33">
        <v>47.26</v>
      </c>
      <c r="L146" s="399">
        <v>42615</v>
      </c>
      <c r="M146" s="33">
        <v>1.0762810746221962</v>
      </c>
      <c r="N146" s="33">
        <v>0.95246314141942423</v>
      </c>
      <c r="O146" s="33">
        <v>1.0596303411942589</v>
      </c>
      <c r="P146" s="33">
        <v>0.93829416783635811</v>
      </c>
    </row>
    <row r="147" spans="8:16" x14ac:dyDescent="0.25">
      <c r="H147" s="399">
        <v>42615</v>
      </c>
      <c r="I147" s="33">
        <v>82.988900000000001</v>
      </c>
      <c r="J147" s="33">
        <v>46.83</v>
      </c>
      <c r="L147" s="399">
        <v>42614</v>
      </c>
      <c r="M147" s="33">
        <v>1.0720799745973215</v>
      </c>
      <c r="N147" s="33">
        <v>0.93502345022739775</v>
      </c>
      <c r="O147" s="33">
        <v>1.048607517843994</v>
      </c>
      <c r="P147" s="33">
        <v>0.93832232229095558</v>
      </c>
    </row>
    <row r="148" spans="8:16" x14ac:dyDescent="0.25">
      <c r="H148" s="399">
        <v>42614</v>
      </c>
      <c r="I148" s="33">
        <v>82.100700000000003</v>
      </c>
      <c r="J148" s="33">
        <v>45.45</v>
      </c>
      <c r="L148" s="399">
        <v>42613</v>
      </c>
      <c r="M148" s="33">
        <v>1.0721214311025378</v>
      </c>
      <c r="N148" s="33">
        <v>0.93331084624567873</v>
      </c>
      <c r="O148" s="33">
        <v>1.0505538322050292</v>
      </c>
      <c r="P148" s="33">
        <v>0.94375633857628594</v>
      </c>
    </row>
    <row r="149" spans="8:16" x14ac:dyDescent="0.25">
      <c r="H149" s="399">
        <v>42613</v>
      </c>
      <c r="I149" s="33">
        <v>82.7727</v>
      </c>
      <c r="J149" s="33">
        <v>47.04</v>
      </c>
      <c r="L149" s="399">
        <v>42612</v>
      </c>
      <c r="M149" s="33">
        <v>1.0744972192024589</v>
      </c>
      <c r="N149" s="33">
        <v>0.93519894547780669</v>
      </c>
      <c r="O149" s="33">
        <v>1.0560240579799114</v>
      </c>
      <c r="P149" s="33">
        <v>0.94062963800149291</v>
      </c>
    </row>
    <row r="150" spans="8:16" x14ac:dyDescent="0.25">
      <c r="H150" s="399">
        <v>42612</v>
      </c>
      <c r="I150" s="33">
        <v>83.655100000000004</v>
      </c>
      <c r="J150" s="33">
        <v>48.37</v>
      </c>
      <c r="L150" s="399">
        <v>42611</v>
      </c>
      <c r="M150" s="33">
        <v>1.0764510070742976</v>
      </c>
      <c r="N150" s="33">
        <v>0.92670456466774054</v>
      </c>
      <c r="O150" s="33">
        <v>1.0475495675154458</v>
      </c>
      <c r="P150" s="33">
        <v>0.93963989563785599</v>
      </c>
    </row>
    <row r="151" spans="8:16" x14ac:dyDescent="0.25">
      <c r="H151" s="399">
        <v>42611</v>
      </c>
      <c r="I151" s="33">
        <v>84.459299999999999</v>
      </c>
      <c r="J151" s="33">
        <v>49.26</v>
      </c>
      <c r="L151" s="399">
        <v>42608</v>
      </c>
      <c r="M151" s="33">
        <v>1.0712228877219574</v>
      </c>
      <c r="N151" s="33">
        <v>0.93587508506358996</v>
      </c>
      <c r="O151" s="33">
        <v>1.0568718964462027</v>
      </c>
      <c r="P151" s="33">
        <v>0.94094485048336507</v>
      </c>
    </row>
    <row r="152" spans="8:16" x14ac:dyDescent="0.25">
      <c r="H152" s="399">
        <v>42608</v>
      </c>
      <c r="I152" s="33">
        <v>84.9846</v>
      </c>
      <c r="J152" s="33">
        <v>49.92</v>
      </c>
      <c r="L152" s="399">
        <v>42607</v>
      </c>
      <c r="M152" s="33">
        <v>1.0728017357612858</v>
      </c>
      <c r="N152" s="33">
        <v>0.93212889204870564</v>
      </c>
      <c r="O152" s="33">
        <v>1.0551803443736114</v>
      </c>
      <c r="P152" s="33">
        <v>0.94205557097743586</v>
      </c>
    </row>
    <row r="153" spans="8:16" x14ac:dyDescent="0.25">
      <c r="H153" s="399">
        <v>42607</v>
      </c>
      <c r="I153" s="33">
        <v>85.0535</v>
      </c>
      <c r="J153" s="33">
        <v>49.67</v>
      </c>
      <c r="L153" s="399">
        <v>42606</v>
      </c>
      <c r="M153" s="33">
        <v>1.074166976815969</v>
      </c>
      <c r="N153" s="33">
        <v>0.93828261197209706</v>
      </c>
      <c r="O153" s="33">
        <v>1.0631790874519584</v>
      </c>
      <c r="P153" s="33">
        <v>0.94795221745222102</v>
      </c>
    </row>
    <row r="154" spans="8:16" x14ac:dyDescent="0.25">
      <c r="H154" s="399">
        <v>42606</v>
      </c>
      <c r="I154" s="33">
        <v>85.069800000000001</v>
      </c>
      <c r="J154" s="33">
        <v>49.05</v>
      </c>
      <c r="L154" s="399">
        <v>42605</v>
      </c>
      <c r="M154" s="33">
        <v>1.0794072712967409</v>
      </c>
      <c r="N154" s="33">
        <v>0.93766974481163112</v>
      </c>
      <c r="O154" s="33">
        <v>1.0646801999551814</v>
      </c>
      <c r="P154" s="33">
        <v>0.95052602184545321</v>
      </c>
    </row>
    <row r="155" spans="8:16" x14ac:dyDescent="0.25">
      <c r="H155" s="399">
        <v>42605</v>
      </c>
      <c r="I155" s="33">
        <v>86.073400000000007</v>
      </c>
      <c r="J155" s="33">
        <v>49.96</v>
      </c>
      <c r="L155" s="399">
        <v>42604</v>
      </c>
      <c r="M155" s="33">
        <v>1.0774555064614955</v>
      </c>
      <c r="N155" s="33">
        <v>0.92657959894400088</v>
      </c>
      <c r="O155" s="33">
        <v>1.0554696494847673</v>
      </c>
      <c r="P155" s="33">
        <v>0.94771671238032873</v>
      </c>
    </row>
    <row r="156" spans="8:16" x14ac:dyDescent="0.25">
      <c r="H156" s="399">
        <v>42604</v>
      </c>
      <c r="I156" s="33">
        <v>85.670400000000001</v>
      </c>
      <c r="J156" s="33">
        <v>49.16</v>
      </c>
      <c r="L156" s="399">
        <v>42601</v>
      </c>
      <c r="M156" s="33">
        <v>1.0780187267997023</v>
      </c>
      <c r="N156" s="33">
        <v>0.92921750484498311</v>
      </c>
      <c r="O156" s="33">
        <v>1.0602125395580897</v>
      </c>
      <c r="P156" s="33">
        <v>0.9554508916038873</v>
      </c>
    </row>
    <row r="157" spans="8:16" x14ac:dyDescent="0.25">
      <c r="H157" s="399">
        <v>42601</v>
      </c>
      <c r="I157" s="33">
        <v>86.236400000000003</v>
      </c>
      <c r="J157" s="33">
        <v>50.88</v>
      </c>
      <c r="L157" s="399">
        <v>42600</v>
      </c>
      <c r="M157" s="33">
        <v>1.079459042846195</v>
      </c>
      <c r="N157" s="33">
        <v>0.93913967488097261</v>
      </c>
      <c r="O157" s="33">
        <v>1.066623584617874</v>
      </c>
      <c r="P157" s="33">
        <v>0.95764308153989264</v>
      </c>
    </row>
    <row r="158" spans="8:16" x14ac:dyDescent="0.25">
      <c r="H158" s="399">
        <v>42600</v>
      </c>
      <c r="I158" s="33">
        <v>86.740700000000004</v>
      </c>
      <c r="J158" s="33">
        <v>50.89</v>
      </c>
      <c r="L158" s="399">
        <v>42599</v>
      </c>
      <c r="M158" s="33">
        <v>1.0772594479382569</v>
      </c>
      <c r="N158" s="33">
        <v>0.92910617983741606</v>
      </c>
      <c r="O158" s="33">
        <v>1.0553333498981217</v>
      </c>
      <c r="P158" s="33">
        <v>0.95894106728280204</v>
      </c>
    </row>
    <row r="159" spans="8:16" x14ac:dyDescent="0.25">
      <c r="H159" s="399">
        <v>42599</v>
      </c>
      <c r="I159" s="33">
        <v>85.871899999999997</v>
      </c>
      <c r="J159" s="33">
        <v>49.85</v>
      </c>
      <c r="L159" s="399">
        <v>42598</v>
      </c>
      <c r="M159" s="33">
        <v>1.0753908897581499</v>
      </c>
      <c r="N159" s="33">
        <v>0.94057493158906302</v>
      </c>
      <c r="O159" s="33">
        <v>1.06800025015849</v>
      </c>
      <c r="P159" s="33">
        <v>0.96004578986157352</v>
      </c>
    </row>
    <row r="160" spans="8:16" x14ac:dyDescent="0.25">
      <c r="H160" s="399">
        <v>42598</v>
      </c>
      <c r="I160" s="33">
        <v>85.722700000000003</v>
      </c>
      <c r="J160" s="33">
        <v>49.23</v>
      </c>
      <c r="L160" s="399">
        <v>42597</v>
      </c>
      <c r="M160" s="33">
        <v>1.0808699665337134</v>
      </c>
      <c r="N160" s="33">
        <v>0.94287021244315872</v>
      </c>
      <c r="O160" s="33">
        <v>1.0660905538202394</v>
      </c>
      <c r="P160" s="33">
        <v>0.9632891537241195</v>
      </c>
    </row>
    <row r="161" spans="8:16" x14ac:dyDescent="0.25">
      <c r="H161" s="399">
        <v>42597</v>
      </c>
      <c r="I161" s="33">
        <v>85.238500000000002</v>
      </c>
      <c r="J161" s="33">
        <v>48.35</v>
      </c>
      <c r="L161" s="399">
        <v>42594</v>
      </c>
      <c r="M161" s="33">
        <v>1.0780769901824394</v>
      </c>
      <c r="N161" s="33">
        <v>0.94105435344722888</v>
      </c>
      <c r="O161" s="33">
        <v>1.0624276047681671</v>
      </c>
      <c r="P161" s="33">
        <v>0.93851955237495788</v>
      </c>
    </row>
    <row r="162" spans="8:16" x14ac:dyDescent="0.25">
      <c r="H162" s="399">
        <v>42594</v>
      </c>
      <c r="I162" s="33">
        <v>84.055499999999995</v>
      </c>
      <c r="J162" s="33">
        <v>46.97</v>
      </c>
      <c r="L162" s="399">
        <v>42593</v>
      </c>
      <c r="M162" s="33">
        <v>1.0788730410381939</v>
      </c>
      <c r="N162" s="33">
        <v>0.94150077670288779</v>
      </c>
      <c r="O162" s="33">
        <v>1.0642714920505143</v>
      </c>
      <c r="P162" s="33">
        <v>0.92339591495071671</v>
      </c>
    </row>
    <row r="163" spans="8:16" x14ac:dyDescent="0.25">
      <c r="H163" s="399">
        <v>42593</v>
      </c>
      <c r="I163" s="33">
        <v>83.974299999999999</v>
      </c>
      <c r="J163" s="33">
        <v>46.04</v>
      </c>
      <c r="L163" s="399">
        <v>42592</v>
      </c>
      <c r="M163" s="33">
        <v>1.0741384754920409</v>
      </c>
      <c r="N163" s="33">
        <v>0.93218718089952457</v>
      </c>
      <c r="O163" s="33">
        <v>1.0564512957335186</v>
      </c>
      <c r="P163" s="33">
        <v>0.92807226132448983</v>
      </c>
    </row>
    <row r="164" spans="8:16" x14ac:dyDescent="0.25">
      <c r="H164" s="399">
        <v>42592</v>
      </c>
      <c r="I164" s="33">
        <v>83.229299999999995</v>
      </c>
      <c r="J164" s="33">
        <v>44.05</v>
      </c>
      <c r="L164" s="399">
        <v>42591</v>
      </c>
      <c r="M164" s="33">
        <v>1.0770031614766218</v>
      </c>
      <c r="N164" s="33">
        <v>0.92998227400705047</v>
      </c>
      <c r="O164" s="33">
        <v>1.0546385786936168</v>
      </c>
      <c r="P164" s="33">
        <v>0.92767362106106654</v>
      </c>
    </row>
    <row r="165" spans="8:16" x14ac:dyDescent="0.25">
      <c r="H165" s="399">
        <v>42591</v>
      </c>
      <c r="I165" s="33">
        <v>83.752099999999999</v>
      </c>
      <c r="J165" s="33">
        <v>44.98</v>
      </c>
      <c r="L165" s="399">
        <v>42590</v>
      </c>
      <c r="M165" s="33">
        <v>1.0766134123375086</v>
      </c>
      <c r="N165" s="33">
        <v>0.91209036955776557</v>
      </c>
      <c r="O165" s="33">
        <v>1.027258535584374</v>
      </c>
      <c r="P165" s="33">
        <v>0.91988334854052001</v>
      </c>
    </row>
    <row r="166" spans="8:16" x14ac:dyDescent="0.25">
      <c r="H166" s="399">
        <v>42590</v>
      </c>
      <c r="I166" s="33">
        <v>84.3172</v>
      </c>
      <c r="J166" s="33">
        <v>45.39</v>
      </c>
      <c r="L166" s="399">
        <v>42587</v>
      </c>
      <c r="M166" s="33">
        <v>1.077520475057689</v>
      </c>
      <c r="N166" s="33">
        <v>0.90998837521678522</v>
      </c>
      <c r="O166" s="33">
        <v>1.0219725589373629</v>
      </c>
      <c r="P166" s="33">
        <v>0.91137558070008051</v>
      </c>
    </row>
    <row r="167" spans="8:16" x14ac:dyDescent="0.25">
      <c r="H167" s="399">
        <v>42587</v>
      </c>
      <c r="I167" s="33">
        <v>83.854299999999995</v>
      </c>
      <c r="J167" s="33">
        <v>44.27</v>
      </c>
      <c r="L167" s="399">
        <v>42586</v>
      </c>
      <c r="M167" s="33">
        <v>1.0689170327566608</v>
      </c>
      <c r="N167" s="33">
        <v>0.90043270343282411</v>
      </c>
      <c r="O167" s="33">
        <v>1.0128983456490053</v>
      </c>
      <c r="P167" s="33">
        <v>0.91557649771551741</v>
      </c>
    </row>
    <row r="168" spans="8:16" x14ac:dyDescent="0.25">
      <c r="H168" s="399">
        <v>42586</v>
      </c>
      <c r="I168" s="33">
        <v>83.907799999999995</v>
      </c>
      <c r="J168" s="33">
        <v>44.29</v>
      </c>
      <c r="L168" s="399">
        <v>42585</v>
      </c>
      <c r="M168" s="33">
        <v>1.0687044428103167</v>
      </c>
      <c r="N168" s="33">
        <v>0.89636795774862676</v>
      </c>
      <c r="O168" s="33">
        <v>1.0104698185246308</v>
      </c>
      <c r="P168" s="33">
        <v>0.91570796223156181</v>
      </c>
    </row>
    <row r="169" spans="8:16" x14ac:dyDescent="0.25">
      <c r="H169" s="399">
        <v>42585</v>
      </c>
      <c r="I169" s="33">
        <v>83.547200000000004</v>
      </c>
      <c r="J169" s="33">
        <v>43.1</v>
      </c>
      <c r="L169" s="399">
        <v>42584</v>
      </c>
      <c r="M169" s="33">
        <v>1.0655705040148433</v>
      </c>
      <c r="N169" s="33">
        <v>0.89933657360270325</v>
      </c>
      <c r="O169" s="33">
        <v>1.0122967850157405</v>
      </c>
      <c r="P169" s="33">
        <v>0.91392588083622006</v>
      </c>
    </row>
    <row r="170" spans="8:16" x14ac:dyDescent="0.25">
      <c r="H170" s="399">
        <v>42584</v>
      </c>
      <c r="I170" s="33">
        <v>82.729900000000001</v>
      </c>
      <c r="J170" s="33">
        <v>41.8</v>
      </c>
      <c r="L170" s="399">
        <v>42583</v>
      </c>
      <c r="M170" s="33">
        <v>1.0719320967623509</v>
      </c>
      <c r="N170" s="33">
        <v>0.91510787889397394</v>
      </c>
      <c r="O170" s="33">
        <v>1.0257480636455405</v>
      </c>
      <c r="P170" s="33">
        <v>0.90533147110020429</v>
      </c>
    </row>
    <row r="171" spans="8:16" x14ac:dyDescent="0.25">
      <c r="H171" s="399">
        <v>42583</v>
      </c>
      <c r="I171" s="33">
        <v>82.897400000000005</v>
      </c>
      <c r="J171" s="33">
        <v>42.14</v>
      </c>
      <c r="L171" s="399">
        <v>42580</v>
      </c>
      <c r="M171" s="33">
        <v>1.0732018796110809</v>
      </c>
      <c r="N171" s="33">
        <v>0.92170369816936426</v>
      </c>
      <c r="O171" s="33">
        <v>1.0251693501771468</v>
      </c>
      <c r="P171" s="33">
        <v>0.914579923203513</v>
      </c>
    </row>
    <row r="172" spans="8:16" x14ac:dyDescent="0.25">
      <c r="H172" s="399">
        <v>42580</v>
      </c>
      <c r="I172" s="33">
        <v>84.280900000000003</v>
      </c>
      <c r="J172" s="33">
        <v>42.46</v>
      </c>
      <c r="L172" s="399">
        <v>42579</v>
      </c>
      <c r="M172" s="33">
        <v>1.0715705883103794</v>
      </c>
      <c r="N172" s="33">
        <v>0.90601587190010946</v>
      </c>
      <c r="O172" s="33">
        <v>1.0117220968034557</v>
      </c>
      <c r="P172" s="33">
        <v>0.9170663458793642</v>
      </c>
    </row>
    <row r="173" spans="8:16" x14ac:dyDescent="0.25">
      <c r="H173" s="399">
        <v>42579</v>
      </c>
      <c r="I173" s="33">
        <v>83.398399999999995</v>
      </c>
      <c r="J173" s="33">
        <v>42.7</v>
      </c>
      <c r="L173" s="399">
        <v>42578</v>
      </c>
      <c r="M173" s="33">
        <v>1.0699643702155015</v>
      </c>
      <c r="N173" s="33">
        <v>0.90949689260716848</v>
      </c>
      <c r="O173" s="33">
        <v>1.0083457789849462</v>
      </c>
      <c r="P173" s="33">
        <v>0.91388357684421484</v>
      </c>
    </row>
    <row r="174" spans="8:16" x14ac:dyDescent="0.25">
      <c r="H174" s="399">
        <v>42578</v>
      </c>
      <c r="I174" s="33">
        <v>83.126999999999995</v>
      </c>
      <c r="J174" s="33">
        <v>43.47</v>
      </c>
      <c r="L174" s="399">
        <v>42577</v>
      </c>
      <c r="M174" s="33">
        <v>1.0711629798283506</v>
      </c>
      <c r="N174" s="33">
        <v>0.90231336250252858</v>
      </c>
      <c r="O174" s="33">
        <v>1.0010654038392839</v>
      </c>
      <c r="P174" s="33">
        <v>0.93282137616611571</v>
      </c>
    </row>
    <row r="175" spans="8:16" x14ac:dyDescent="0.25">
      <c r="H175" s="399">
        <v>42577</v>
      </c>
      <c r="I175" s="33">
        <v>83.721500000000006</v>
      </c>
      <c r="J175" s="33">
        <v>44.87</v>
      </c>
      <c r="L175" s="399">
        <v>42576</v>
      </c>
      <c r="M175" s="33">
        <v>1.0708401730696995</v>
      </c>
      <c r="N175" s="33">
        <v>0.90031180849509473</v>
      </c>
      <c r="O175" s="33">
        <v>0.99611825194044101</v>
      </c>
      <c r="P175" s="33">
        <v>0.92054109943072882</v>
      </c>
    </row>
    <row r="176" spans="8:16" x14ac:dyDescent="0.25">
      <c r="H176" s="399">
        <v>42576</v>
      </c>
      <c r="I176" s="33">
        <v>83.923599999999993</v>
      </c>
      <c r="J176" s="33">
        <v>44.72</v>
      </c>
      <c r="L176" s="399">
        <v>42573</v>
      </c>
      <c r="M176" s="33">
        <v>1.0738516257852941</v>
      </c>
      <c r="N176" s="33">
        <v>0.89815446902414342</v>
      </c>
      <c r="O176" s="33">
        <v>0.98928123793411959</v>
      </c>
      <c r="P176" s="33">
        <v>0.91987106754366388</v>
      </c>
    </row>
    <row r="177" spans="8:16" x14ac:dyDescent="0.25">
      <c r="H177" s="399">
        <v>42573</v>
      </c>
      <c r="I177" s="33">
        <v>84.635199999999998</v>
      </c>
      <c r="J177" s="33">
        <v>45.69</v>
      </c>
      <c r="L177" s="399">
        <v>42572</v>
      </c>
      <c r="M177" s="33">
        <v>1.0692977108502082</v>
      </c>
      <c r="N177" s="33">
        <v>0.90062382850396916</v>
      </c>
      <c r="O177" s="33">
        <v>0.99386413524791961</v>
      </c>
      <c r="P177" s="33">
        <v>0.92811887483673416</v>
      </c>
    </row>
    <row r="178" spans="8:16" x14ac:dyDescent="0.25">
      <c r="H178" s="399">
        <v>42572</v>
      </c>
      <c r="I178" s="33">
        <v>84.951999999999998</v>
      </c>
      <c r="J178" s="33">
        <v>46.2</v>
      </c>
      <c r="L178" s="399">
        <v>42571</v>
      </c>
      <c r="M178" s="33">
        <v>1.0729101948586388</v>
      </c>
      <c r="N178" s="33">
        <v>0.89992295192101435</v>
      </c>
      <c r="O178" s="33">
        <v>0.99228202525199172</v>
      </c>
      <c r="P178" s="33">
        <v>0.92490063082152263</v>
      </c>
    </row>
    <row r="179" spans="8:16" x14ac:dyDescent="0.25">
      <c r="H179" s="399">
        <v>42571</v>
      </c>
      <c r="I179" s="33">
        <v>85.156300000000002</v>
      </c>
      <c r="J179" s="33">
        <v>47.17</v>
      </c>
      <c r="L179" s="399">
        <v>42570</v>
      </c>
      <c r="M179" s="33">
        <v>1.0686398901141638</v>
      </c>
      <c r="N179" s="33">
        <v>0.88842733097972193</v>
      </c>
      <c r="O179" s="33">
        <v>0.97691290259300589</v>
      </c>
      <c r="P179" s="33">
        <v>0.92440432042608967</v>
      </c>
    </row>
    <row r="180" spans="8:16" x14ac:dyDescent="0.25">
      <c r="H180" s="399">
        <v>42570</v>
      </c>
      <c r="I180" s="33">
        <v>85.748400000000004</v>
      </c>
      <c r="J180" s="33">
        <v>46.66</v>
      </c>
      <c r="L180" s="399">
        <v>42569</v>
      </c>
      <c r="M180" s="33">
        <v>1.0700751267897681</v>
      </c>
      <c r="N180" s="33">
        <v>0.89967145882896959</v>
      </c>
      <c r="O180" s="33">
        <v>0.99015718429435395</v>
      </c>
      <c r="P180" s="33">
        <v>0.92660388393369875</v>
      </c>
    </row>
    <row r="181" spans="8:16" x14ac:dyDescent="0.25">
      <c r="H181" s="399">
        <v>42569</v>
      </c>
      <c r="I181" s="33">
        <v>86.526600000000002</v>
      </c>
      <c r="J181" s="33">
        <v>46.96</v>
      </c>
      <c r="L181" s="399">
        <v>42566</v>
      </c>
      <c r="M181" s="33">
        <v>1.0676927866378536</v>
      </c>
      <c r="N181" s="33">
        <v>0.90206462674384813</v>
      </c>
      <c r="O181" s="33">
        <v>0.98971843809157622</v>
      </c>
      <c r="P181" s="33">
        <v>0.93138194695749155</v>
      </c>
    </row>
    <row r="182" spans="8:16" x14ac:dyDescent="0.25">
      <c r="H182" s="399">
        <v>42566</v>
      </c>
      <c r="I182" s="33">
        <v>86.698400000000007</v>
      </c>
      <c r="J182" s="33">
        <v>47.61</v>
      </c>
      <c r="L182" s="399">
        <v>42565</v>
      </c>
      <c r="M182" s="33">
        <v>1.0686217294454794</v>
      </c>
      <c r="N182" s="33">
        <v>0.90813875421876333</v>
      </c>
      <c r="O182" s="33">
        <v>0.99444601207809047</v>
      </c>
      <c r="P182" s="33">
        <v>0.93223280586056445</v>
      </c>
    </row>
    <row r="183" spans="8:16" x14ac:dyDescent="0.25">
      <c r="H183" s="399">
        <v>42565</v>
      </c>
      <c r="I183" s="33">
        <v>87.119600000000005</v>
      </c>
      <c r="J183" s="33">
        <v>47.37</v>
      </c>
      <c r="L183" s="399">
        <v>42564</v>
      </c>
      <c r="M183" s="33">
        <v>1.0633625572540493</v>
      </c>
      <c r="N183" s="33">
        <v>0.89515335885087688</v>
      </c>
      <c r="O183" s="33">
        <v>0.98022596996923284</v>
      </c>
      <c r="P183" s="33">
        <v>0.93414361849777827</v>
      </c>
    </row>
    <row r="184" spans="8:16" x14ac:dyDescent="0.25">
      <c r="H184" s="399">
        <v>42564</v>
      </c>
      <c r="I184" s="33">
        <v>86.976699999999994</v>
      </c>
      <c r="J184" s="33">
        <v>46.26</v>
      </c>
      <c r="L184" s="399">
        <v>42563</v>
      </c>
      <c r="M184" s="33">
        <v>1.0632278076559749</v>
      </c>
      <c r="N184" s="33">
        <v>0.89611309739527711</v>
      </c>
      <c r="O184" s="33">
        <v>0.98204652939377879</v>
      </c>
      <c r="P184" s="33">
        <v>0.92995490628039357</v>
      </c>
    </row>
    <row r="185" spans="8:16" x14ac:dyDescent="0.25">
      <c r="H185" s="399">
        <v>42563</v>
      </c>
      <c r="I185" s="33">
        <v>87.488900000000001</v>
      </c>
      <c r="J185" s="33">
        <v>48.47</v>
      </c>
      <c r="L185" s="399">
        <v>42562</v>
      </c>
      <c r="M185" s="33">
        <v>1.0562185055915529</v>
      </c>
      <c r="N185" s="33">
        <v>0.87584831646079775</v>
      </c>
      <c r="O185" s="33">
        <v>0.96518382246014744</v>
      </c>
      <c r="P185" s="33">
        <v>0.91070378492634108</v>
      </c>
    </row>
    <row r="186" spans="8:16" x14ac:dyDescent="0.25">
      <c r="H186" s="399">
        <v>42562</v>
      </c>
      <c r="I186" s="33">
        <v>86.081500000000005</v>
      </c>
      <c r="J186" s="33">
        <v>46.25</v>
      </c>
      <c r="L186" s="399">
        <v>42559</v>
      </c>
      <c r="M186" s="33">
        <v>1.0528098948586546</v>
      </c>
      <c r="N186" s="33">
        <v>0.85936209566601596</v>
      </c>
      <c r="O186" s="33">
        <v>0.9442099765125116</v>
      </c>
      <c r="P186" s="33">
        <v>0.9098124319121248</v>
      </c>
    </row>
    <row r="187" spans="8:16" x14ac:dyDescent="0.25">
      <c r="H187" s="399">
        <v>42559</v>
      </c>
      <c r="I187" s="33">
        <v>86.402299999999997</v>
      </c>
      <c r="J187" s="33">
        <v>46.76</v>
      </c>
      <c r="L187" s="399">
        <v>42558</v>
      </c>
      <c r="M187" s="33">
        <v>1.0375565462719729</v>
      </c>
      <c r="N187" s="33">
        <v>0.83936233462025478</v>
      </c>
      <c r="O187" s="33">
        <v>0.92265233943255232</v>
      </c>
      <c r="P187" s="33">
        <v>0.92036530301257957</v>
      </c>
    </row>
    <row r="188" spans="8:16" x14ac:dyDescent="0.25">
      <c r="H188" s="399">
        <v>42558</v>
      </c>
      <c r="I188" s="33">
        <v>85.5334</v>
      </c>
      <c r="J188" s="33">
        <v>46.4</v>
      </c>
      <c r="L188" s="399">
        <v>42557</v>
      </c>
      <c r="M188" s="33">
        <v>1.0384280868986249</v>
      </c>
      <c r="N188" s="33">
        <v>0.83484925363720697</v>
      </c>
      <c r="O188" s="33">
        <v>0.92006135233231667</v>
      </c>
      <c r="P188" s="33">
        <v>0.91868692049293532</v>
      </c>
    </row>
    <row r="189" spans="8:16" x14ac:dyDescent="0.25">
      <c r="H189" s="399">
        <v>42557</v>
      </c>
      <c r="I189" s="33">
        <v>87.527199999999993</v>
      </c>
      <c r="J189" s="33">
        <v>48.8</v>
      </c>
      <c r="L189" s="399">
        <v>42556</v>
      </c>
      <c r="M189" s="33">
        <v>1.0330750908008537</v>
      </c>
      <c r="N189" s="33">
        <v>0.85324988459544637</v>
      </c>
      <c r="O189" s="33">
        <v>0.93686638087007346</v>
      </c>
      <c r="P189" s="33">
        <v>0.9167408745840917</v>
      </c>
    </row>
    <row r="190" spans="8:16" x14ac:dyDescent="0.25">
      <c r="H190" s="399">
        <v>42556</v>
      </c>
      <c r="I190" s="33">
        <v>87.428200000000004</v>
      </c>
      <c r="J190" s="33">
        <v>47.96</v>
      </c>
      <c r="L190" s="399">
        <v>42552</v>
      </c>
      <c r="M190" s="33">
        <v>1.0399226145175371</v>
      </c>
      <c r="N190" s="33">
        <v>0.88170957653026405</v>
      </c>
      <c r="O190" s="33">
        <v>0.96589005958086327</v>
      </c>
      <c r="P190" s="33">
        <v>0.89517166976348972</v>
      </c>
    </row>
    <row r="191" spans="8:16" x14ac:dyDescent="0.25">
      <c r="H191" s="399">
        <v>42552</v>
      </c>
      <c r="I191" s="33">
        <v>89.678799999999995</v>
      </c>
      <c r="J191" s="33">
        <v>50.35</v>
      </c>
      <c r="L191" s="399">
        <v>42551</v>
      </c>
      <c r="M191" s="33">
        <v>1.0379739376167434</v>
      </c>
      <c r="N191" s="33">
        <v>0.86949776880414165</v>
      </c>
      <c r="O191" s="33">
        <v>0.95013250598663102</v>
      </c>
      <c r="P191" s="33">
        <v>0.89455285837427989</v>
      </c>
    </row>
    <row r="192" spans="8:16" x14ac:dyDescent="0.25">
      <c r="H192" s="399">
        <v>42551</v>
      </c>
      <c r="I192" s="33">
        <v>88.842299999999994</v>
      </c>
      <c r="J192" s="33">
        <v>49.68</v>
      </c>
      <c r="L192" s="399">
        <v>42550</v>
      </c>
      <c r="M192" s="33">
        <v>1.0244089352263281</v>
      </c>
      <c r="N192" s="33">
        <v>0.86027986012237978</v>
      </c>
      <c r="O192" s="33">
        <v>0.94534546045163848</v>
      </c>
      <c r="P192" s="33">
        <v>0.89914990713368881</v>
      </c>
    </row>
    <row r="193" spans="8:16" x14ac:dyDescent="0.25">
      <c r="H193" s="399">
        <v>42550</v>
      </c>
      <c r="I193" s="33">
        <v>89.298400000000001</v>
      </c>
      <c r="J193" s="33">
        <v>50.61</v>
      </c>
      <c r="L193" s="399">
        <v>42549</v>
      </c>
      <c r="M193" s="33">
        <v>1.0073762893216776</v>
      </c>
      <c r="N193" s="33">
        <v>0.82945317475030778</v>
      </c>
      <c r="O193" s="33">
        <v>0.92373885870339234</v>
      </c>
      <c r="P193" s="33">
        <v>0.88956229395763797</v>
      </c>
    </row>
    <row r="194" spans="8:16" x14ac:dyDescent="0.25">
      <c r="H194" s="399">
        <v>42549</v>
      </c>
      <c r="I194" s="33">
        <v>88.301599999999993</v>
      </c>
      <c r="J194" s="33">
        <v>48.58</v>
      </c>
      <c r="L194" s="399">
        <v>42548</v>
      </c>
      <c r="M194" s="33">
        <v>0.98960608727623001</v>
      </c>
      <c r="N194" s="33">
        <v>0.80536409504567175</v>
      </c>
      <c r="O194" s="33">
        <v>0.90308232127289201</v>
      </c>
      <c r="P194" s="33">
        <v>0.88393860513722866</v>
      </c>
    </row>
    <row r="195" spans="8:16" x14ac:dyDescent="0.25">
      <c r="H195" s="399">
        <v>42548</v>
      </c>
      <c r="I195" s="33">
        <v>86.655799999999999</v>
      </c>
      <c r="J195" s="33">
        <v>47.16</v>
      </c>
      <c r="L195" s="399">
        <v>42545</v>
      </c>
      <c r="M195" s="33">
        <v>1.0077025921525191</v>
      </c>
      <c r="N195" s="33">
        <v>0.84483395857179255</v>
      </c>
      <c r="O195" s="33">
        <v>0.94438644123333604</v>
      </c>
      <c r="P195" s="33">
        <v>0.87234314668811086</v>
      </c>
    </row>
    <row r="196" spans="8:16" x14ac:dyDescent="0.25">
      <c r="H196" s="399">
        <v>42545</v>
      </c>
      <c r="I196" s="33">
        <v>86.955699999999993</v>
      </c>
      <c r="J196" s="33">
        <v>48.41</v>
      </c>
      <c r="L196" s="399">
        <v>42544</v>
      </c>
      <c r="M196" s="33">
        <v>1.0436223771353896</v>
      </c>
      <c r="N196" s="33">
        <v>0.94605526196565881</v>
      </c>
      <c r="O196" s="33">
        <v>1.0279671724809889</v>
      </c>
      <c r="P196" s="33">
        <v>0.89436396971590337</v>
      </c>
    </row>
    <row r="197" spans="8:16" x14ac:dyDescent="0.25">
      <c r="H197" s="399">
        <v>42544</v>
      </c>
      <c r="I197" s="33">
        <v>88.345399999999998</v>
      </c>
      <c r="J197" s="33">
        <v>50.91</v>
      </c>
      <c r="L197" s="399">
        <v>42543</v>
      </c>
      <c r="M197" s="33">
        <v>1.0302583549818976</v>
      </c>
      <c r="N197" s="33">
        <v>0.92154863306327339</v>
      </c>
      <c r="O197" s="33">
        <v>1.0049960294866369</v>
      </c>
      <c r="P197" s="33">
        <v>0.89752556403765693</v>
      </c>
    </row>
    <row r="198" spans="8:16" x14ac:dyDescent="0.25">
      <c r="H198" s="399">
        <v>42543</v>
      </c>
      <c r="I198" s="33">
        <v>88.018900000000002</v>
      </c>
      <c r="J198" s="33">
        <v>49.88</v>
      </c>
      <c r="L198" s="399">
        <v>42542</v>
      </c>
      <c r="M198" s="33">
        <v>1.0319099419415414</v>
      </c>
      <c r="N198" s="33">
        <v>0.91392929541932166</v>
      </c>
      <c r="O198" s="33">
        <v>0.99552304293307303</v>
      </c>
      <c r="P198" s="33">
        <v>0.88689029409621978</v>
      </c>
    </row>
    <row r="199" spans="8:16" x14ac:dyDescent="0.25">
      <c r="H199" s="399">
        <v>42542</v>
      </c>
      <c r="I199" s="33">
        <v>88.583299999999994</v>
      </c>
      <c r="J199" s="33">
        <v>50.62</v>
      </c>
      <c r="L199" s="399">
        <v>42541</v>
      </c>
      <c r="M199" s="33">
        <v>1.0291978334572018</v>
      </c>
      <c r="N199" s="33">
        <v>0.91060796014704892</v>
      </c>
      <c r="O199" s="33">
        <v>0.99512635911092651</v>
      </c>
      <c r="P199" s="33">
        <v>0.89187636485181843</v>
      </c>
    </row>
    <row r="200" spans="8:16" x14ac:dyDescent="0.25">
      <c r="H200" s="399">
        <v>42541</v>
      </c>
      <c r="I200" s="33">
        <v>89.453800000000001</v>
      </c>
      <c r="J200" s="33">
        <v>50.65</v>
      </c>
      <c r="L200" s="399">
        <v>42538</v>
      </c>
      <c r="M200" s="33">
        <v>1.0233896624275673</v>
      </c>
      <c r="N200" s="33">
        <v>0.87331734244492365</v>
      </c>
      <c r="O200" s="33">
        <v>0.95638835647704035</v>
      </c>
      <c r="P200" s="33">
        <v>0.88923749009911091</v>
      </c>
    </row>
    <row r="201" spans="8:16" x14ac:dyDescent="0.25">
      <c r="H201" s="399">
        <v>42538</v>
      </c>
      <c r="I201" s="33">
        <v>88.721199999999996</v>
      </c>
      <c r="J201" s="33">
        <v>49.17</v>
      </c>
      <c r="L201" s="399">
        <v>42537</v>
      </c>
      <c r="M201" s="33">
        <v>1.0266476184331306</v>
      </c>
      <c r="N201" s="33">
        <v>0.85731203889530683</v>
      </c>
      <c r="O201" s="33">
        <v>0.94251940778724608</v>
      </c>
      <c r="P201" s="33">
        <v>0.88425853870347826</v>
      </c>
    </row>
    <row r="202" spans="8:16" x14ac:dyDescent="0.25">
      <c r="H202" s="399">
        <v>42537</v>
      </c>
      <c r="I202" s="33">
        <v>87.233900000000006</v>
      </c>
      <c r="J202" s="33">
        <v>47.19</v>
      </c>
      <c r="L202" s="399">
        <v>42536</v>
      </c>
      <c r="M202" s="33">
        <v>1.0235146230191794</v>
      </c>
      <c r="N202" s="33">
        <v>0.86394632960115803</v>
      </c>
      <c r="O202" s="33">
        <v>0.95111602250379912</v>
      </c>
      <c r="P202" s="33">
        <v>0.89043662465564455</v>
      </c>
    </row>
    <row r="203" spans="8:16" x14ac:dyDescent="0.25">
      <c r="H203" s="399">
        <v>42536</v>
      </c>
      <c r="I203" s="33">
        <v>88.469200000000001</v>
      </c>
      <c r="J203" s="33">
        <v>48.97</v>
      </c>
      <c r="L203" s="399">
        <v>42535</v>
      </c>
      <c r="M203" s="33">
        <v>1.025355303010699</v>
      </c>
      <c r="N203" s="33">
        <v>0.84984983921496404</v>
      </c>
      <c r="O203" s="33">
        <v>0.93967299715750685</v>
      </c>
      <c r="P203" s="33">
        <v>0.87277499432325145</v>
      </c>
    </row>
    <row r="204" spans="8:16" x14ac:dyDescent="0.25">
      <c r="H204" s="399">
        <v>42535</v>
      </c>
      <c r="I204" s="33">
        <v>88.773099999999999</v>
      </c>
      <c r="J204" s="33">
        <v>49.83</v>
      </c>
      <c r="L204" s="399">
        <v>42534</v>
      </c>
      <c r="M204" s="33">
        <v>1.0271541928936267</v>
      </c>
      <c r="N204" s="33">
        <v>0.87576176794441984</v>
      </c>
      <c r="O204" s="33">
        <v>0.96018940066614311</v>
      </c>
      <c r="P204" s="33">
        <v>0.8712150268247818</v>
      </c>
    </row>
    <row r="205" spans="8:16" x14ac:dyDescent="0.25">
      <c r="H205" s="399">
        <v>42534</v>
      </c>
      <c r="I205" s="33">
        <v>89.083699999999993</v>
      </c>
      <c r="J205" s="33">
        <v>50.35</v>
      </c>
      <c r="L205" s="399">
        <v>42531</v>
      </c>
      <c r="M205" s="33">
        <v>1.0352693798864276</v>
      </c>
      <c r="N205" s="33">
        <v>0.89502314509295955</v>
      </c>
      <c r="O205" s="33">
        <v>0.97768289207168557</v>
      </c>
      <c r="P205" s="33">
        <v>0.90629862019216434</v>
      </c>
    </row>
    <row r="206" spans="8:16" x14ac:dyDescent="0.25">
      <c r="H206" s="399">
        <v>42531</v>
      </c>
      <c r="I206" s="33">
        <v>88.942700000000002</v>
      </c>
      <c r="J206" s="33">
        <v>50.54</v>
      </c>
      <c r="L206" s="399">
        <v>42530</v>
      </c>
      <c r="M206" s="33">
        <v>1.044444602530934</v>
      </c>
      <c r="N206" s="33">
        <v>0.92461957771072179</v>
      </c>
      <c r="O206" s="33">
        <v>1.0064148745640655</v>
      </c>
      <c r="P206" s="33">
        <v>0.90629862019216434</v>
      </c>
    </row>
    <row r="207" spans="8:16" x14ac:dyDescent="0.25">
      <c r="H207" s="399">
        <v>42530</v>
      </c>
      <c r="I207" s="33">
        <v>89.877200000000002</v>
      </c>
      <c r="J207" s="33">
        <v>51.95</v>
      </c>
      <c r="L207" s="399">
        <v>42529</v>
      </c>
      <c r="M207" s="33">
        <v>1.0461622966681228</v>
      </c>
      <c r="N207" s="33">
        <v>0.94174261864758746</v>
      </c>
      <c r="O207" s="33">
        <v>1.0258887772307572</v>
      </c>
      <c r="P207" s="33">
        <v>0.90629862019216434</v>
      </c>
    </row>
    <row r="208" spans="8:16" x14ac:dyDescent="0.25">
      <c r="H208" s="399">
        <v>42529</v>
      </c>
      <c r="I208" s="33">
        <v>89.936800000000005</v>
      </c>
      <c r="J208" s="33">
        <v>52.51</v>
      </c>
      <c r="L208" s="399">
        <v>42528</v>
      </c>
      <c r="M208" s="33">
        <v>1.0428528412842213</v>
      </c>
      <c r="N208" s="33">
        <v>0.94425055067734598</v>
      </c>
      <c r="O208" s="33">
        <v>1.0283807390911459</v>
      </c>
      <c r="P208" s="33">
        <v>0.90858080864846347</v>
      </c>
    </row>
    <row r="209" spans="8:16" x14ac:dyDescent="0.25">
      <c r="H209" s="399">
        <v>42528</v>
      </c>
      <c r="I209" s="33">
        <v>88.288600000000002</v>
      </c>
      <c r="J209" s="33">
        <v>51.44</v>
      </c>
      <c r="L209" s="399">
        <v>42527</v>
      </c>
      <c r="M209" s="33">
        <v>1.0415633811982254</v>
      </c>
      <c r="N209" s="33">
        <v>0.93391043593235423</v>
      </c>
      <c r="O209" s="33">
        <v>1.0145108163158643</v>
      </c>
      <c r="P209" s="33">
        <v>0.90837426640789021</v>
      </c>
    </row>
    <row r="210" spans="8:16" x14ac:dyDescent="0.25">
      <c r="H210" s="399">
        <v>42527</v>
      </c>
      <c r="I210" s="33">
        <v>88.113699999999994</v>
      </c>
      <c r="J210" s="33">
        <v>50.55</v>
      </c>
      <c r="L210" s="399">
        <v>42524</v>
      </c>
      <c r="M210" s="33">
        <v>1.0366661142352456</v>
      </c>
      <c r="N210" s="33">
        <v>0.92786143221347461</v>
      </c>
      <c r="O210" s="33">
        <v>1.0081476942878798</v>
      </c>
      <c r="P210" s="33">
        <v>0.91145500379696021</v>
      </c>
    </row>
    <row r="211" spans="8:16" x14ac:dyDescent="0.25">
      <c r="H211" s="399">
        <v>42524</v>
      </c>
      <c r="I211" s="33">
        <v>87.141099999999994</v>
      </c>
      <c r="J211" s="33">
        <v>49.64</v>
      </c>
      <c r="L211" s="399">
        <v>42523</v>
      </c>
      <c r="M211" s="33">
        <v>1.0395778686028772</v>
      </c>
      <c r="N211" s="33">
        <v>0.92477364363206038</v>
      </c>
      <c r="O211" s="33">
        <v>1.0033262160653846</v>
      </c>
      <c r="P211" s="33">
        <v>0.90325472040167165</v>
      </c>
    </row>
    <row r="212" spans="8:16" x14ac:dyDescent="0.25">
      <c r="H212" s="399">
        <v>42523</v>
      </c>
      <c r="I212" s="33">
        <v>86.706199999999995</v>
      </c>
      <c r="J212" s="33">
        <v>50.04</v>
      </c>
      <c r="L212" s="399">
        <v>42522</v>
      </c>
      <c r="M212" s="33">
        <v>1.0367531578618308</v>
      </c>
      <c r="N212" s="33">
        <v>0.92799767847122006</v>
      </c>
      <c r="O212" s="33">
        <v>1.0045888351015773</v>
      </c>
      <c r="P212" s="33">
        <v>0.89970462325482559</v>
      </c>
    </row>
    <row r="213" spans="8:16" x14ac:dyDescent="0.25">
      <c r="H213" s="399">
        <v>42522</v>
      </c>
      <c r="I213" s="33">
        <v>85.908500000000004</v>
      </c>
      <c r="J213" s="33">
        <v>49.72</v>
      </c>
      <c r="L213" s="399">
        <v>42521</v>
      </c>
      <c r="M213" s="33">
        <v>1.0356229503232988</v>
      </c>
      <c r="N213" s="33">
        <v>0.93294688688046068</v>
      </c>
      <c r="O213" s="33">
        <v>1.0071452961725393</v>
      </c>
      <c r="P213" s="33">
        <v>0.89979800369631247</v>
      </c>
    </row>
    <row r="214" spans="8:16" x14ac:dyDescent="0.25">
      <c r="H214" s="399">
        <v>42521</v>
      </c>
      <c r="I214" s="33">
        <v>85.338300000000004</v>
      </c>
      <c r="J214" s="33">
        <v>49.69</v>
      </c>
      <c r="L214" s="399">
        <v>42517</v>
      </c>
      <c r="M214" s="33">
        <v>1.0366233981427988</v>
      </c>
      <c r="N214" s="33">
        <v>0.93764071368939916</v>
      </c>
      <c r="O214" s="33">
        <v>1.0092574565626702</v>
      </c>
      <c r="P214" s="33">
        <v>0.86898365908280017</v>
      </c>
    </row>
    <row r="215" spans="8:16" x14ac:dyDescent="0.25">
      <c r="H215" s="399">
        <v>42517</v>
      </c>
      <c r="I215" s="33">
        <v>85.467500000000001</v>
      </c>
      <c r="J215" s="33">
        <v>49.32</v>
      </c>
      <c r="L215" s="399">
        <v>42516</v>
      </c>
      <c r="M215" s="33">
        <v>1.0323365219167808</v>
      </c>
      <c r="N215" s="33">
        <v>0.93877144373513932</v>
      </c>
      <c r="O215" s="33">
        <v>1.0114278385915263</v>
      </c>
      <c r="P215" s="33">
        <v>0.87138240797491018</v>
      </c>
    </row>
    <row r="216" spans="8:16" x14ac:dyDescent="0.25">
      <c r="H216" s="399">
        <v>42516</v>
      </c>
      <c r="I216" s="33">
        <v>85.353999999999999</v>
      </c>
      <c r="J216" s="33">
        <v>49.59</v>
      </c>
      <c r="L216" s="399">
        <v>42515</v>
      </c>
      <c r="M216" s="33">
        <v>1.0325469938522618</v>
      </c>
      <c r="N216" s="33">
        <v>0.93410439203800033</v>
      </c>
      <c r="O216" s="33">
        <v>1.0032800601830063</v>
      </c>
      <c r="P216" s="33">
        <v>0.86811095314697662</v>
      </c>
    </row>
    <row r="217" spans="8:16" x14ac:dyDescent="0.25">
      <c r="H217" s="399">
        <v>42515</v>
      </c>
      <c r="I217" s="33">
        <v>85.188900000000004</v>
      </c>
      <c r="J217" s="33">
        <v>49.74</v>
      </c>
      <c r="L217" s="399">
        <v>42514</v>
      </c>
      <c r="M217" s="33">
        <v>1.0255722436041959</v>
      </c>
      <c r="N217" s="33">
        <v>0.91608980988988842</v>
      </c>
      <c r="O217" s="33">
        <v>0.98766416716475347</v>
      </c>
      <c r="P217" s="33">
        <v>0.87057984162205515</v>
      </c>
    </row>
    <row r="218" spans="8:16" x14ac:dyDescent="0.25">
      <c r="H218" s="399">
        <v>42514</v>
      </c>
      <c r="I218" s="33">
        <v>84.173299999999998</v>
      </c>
      <c r="J218" s="33">
        <v>48.61</v>
      </c>
      <c r="L218" s="399">
        <v>42513</v>
      </c>
      <c r="M218" s="33">
        <v>1.0118908701935205</v>
      </c>
      <c r="N218" s="33">
        <v>0.89535613679589732</v>
      </c>
      <c r="O218" s="33">
        <v>0.97137812196657913</v>
      </c>
      <c r="P218" s="33">
        <v>0.87753668195153978</v>
      </c>
    </row>
    <row r="219" spans="8:16" x14ac:dyDescent="0.25">
      <c r="H219" s="399">
        <v>42513</v>
      </c>
      <c r="I219" s="33">
        <v>84.376300000000001</v>
      </c>
      <c r="J219" s="33">
        <v>48.35</v>
      </c>
      <c r="L219" s="399">
        <v>42510</v>
      </c>
      <c r="M219" s="33">
        <v>1.0139763149584695</v>
      </c>
      <c r="N219" s="33">
        <v>0.90548883735075503</v>
      </c>
      <c r="O219" s="33">
        <v>0.97907907154557572</v>
      </c>
      <c r="P219" s="33">
        <v>0.87166126481912443</v>
      </c>
    </row>
    <row r="220" spans="8:16" x14ac:dyDescent="0.25">
      <c r="H220" s="399">
        <v>42510</v>
      </c>
      <c r="I220" s="33">
        <v>84.866600000000005</v>
      </c>
      <c r="J220" s="33">
        <v>48.72</v>
      </c>
      <c r="L220" s="399">
        <v>42509</v>
      </c>
      <c r="M220" s="33">
        <v>1.0079568251445439</v>
      </c>
      <c r="N220" s="33">
        <v>0.89032677552108863</v>
      </c>
      <c r="O220" s="33">
        <v>0.9663641962465257</v>
      </c>
      <c r="P220" s="33">
        <v>0.86679369822244645</v>
      </c>
    </row>
    <row r="221" spans="8:16" x14ac:dyDescent="0.25">
      <c r="H221" s="399">
        <v>42509</v>
      </c>
      <c r="I221" s="33">
        <v>84.683199999999999</v>
      </c>
      <c r="J221" s="33">
        <v>48.81</v>
      </c>
      <c r="L221" s="399">
        <v>42508</v>
      </c>
      <c r="M221" s="33">
        <v>1.011663549503925</v>
      </c>
      <c r="N221" s="33">
        <v>0.90930250266267487</v>
      </c>
      <c r="O221" s="33">
        <v>0.98755756826895102</v>
      </c>
      <c r="P221" s="33">
        <v>0.86736168479914744</v>
      </c>
    </row>
    <row r="222" spans="8:16" x14ac:dyDescent="0.25">
      <c r="H222" s="399">
        <v>42508</v>
      </c>
      <c r="I222" s="33">
        <v>85.3994</v>
      </c>
      <c r="J222" s="33">
        <v>48.93</v>
      </c>
      <c r="L222" s="399">
        <v>42507</v>
      </c>
      <c r="M222" s="33">
        <v>1.0114583922411136</v>
      </c>
      <c r="N222" s="33">
        <v>0.9075890272201752</v>
      </c>
      <c r="O222" s="33">
        <v>0.98671933971401904</v>
      </c>
      <c r="P222" s="33">
        <v>0.88300923214138516</v>
      </c>
    </row>
    <row r="223" spans="8:16" x14ac:dyDescent="0.25">
      <c r="H223" s="399">
        <v>42507</v>
      </c>
      <c r="I223" s="33">
        <v>85.716700000000003</v>
      </c>
      <c r="J223" s="33">
        <v>49.28</v>
      </c>
      <c r="L223" s="399">
        <v>42506</v>
      </c>
      <c r="M223" s="33">
        <v>1.020869712922793</v>
      </c>
      <c r="N223" s="33">
        <v>0.9117437954985641</v>
      </c>
      <c r="O223" s="33">
        <v>0.98967659303617195</v>
      </c>
      <c r="P223" s="33">
        <v>0.8856034564816202</v>
      </c>
    </row>
    <row r="224" spans="8:16" x14ac:dyDescent="0.25">
      <c r="H224" s="399">
        <v>42506</v>
      </c>
      <c r="I224" s="33">
        <v>85.140299999999996</v>
      </c>
      <c r="J224" s="33">
        <v>48.97</v>
      </c>
      <c r="L224" s="399">
        <v>42503</v>
      </c>
      <c r="M224" s="33">
        <v>1.011073024740873</v>
      </c>
      <c r="N224" s="33">
        <v>0.91051096785481844</v>
      </c>
      <c r="O224" s="33">
        <v>0.98967659303617195</v>
      </c>
      <c r="P224" s="33">
        <v>0.8754387511647006</v>
      </c>
    </row>
    <row r="225" spans="8:16" x14ac:dyDescent="0.25">
      <c r="H225" s="399">
        <v>42503</v>
      </c>
      <c r="I225" s="33">
        <v>84.466300000000004</v>
      </c>
      <c r="J225" s="33">
        <v>47.83</v>
      </c>
      <c r="L225" s="399">
        <v>42502</v>
      </c>
      <c r="M225" s="33">
        <v>1.0195512550677455</v>
      </c>
      <c r="N225" s="33">
        <v>0.91143754726720427</v>
      </c>
      <c r="O225" s="33">
        <v>0.98862612375780134</v>
      </c>
      <c r="P225" s="33">
        <v>0.88095172794236776</v>
      </c>
    </row>
    <row r="226" spans="8:16" x14ac:dyDescent="0.25">
      <c r="H226" s="399">
        <v>42502</v>
      </c>
      <c r="I226" s="33">
        <v>84.750399999999999</v>
      </c>
      <c r="J226" s="33">
        <v>48.08</v>
      </c>
      <c r="L226" s="399">
        <v>42501</v>
      </c>
      <c r="M226" s="33">
        <v>1.0197207909270016</v>
      </c>
      <c r="N226" s="33">
        <v>0.92261946463646405</v>
      </c>
      <c r="O226" s="33">
        <v>1.003952280109849</v>
      </c>
      <c r="P226" s="33">
        <v>0.88544619432322347</v>
      </c>
    </row>
    <row r="227" spans="8:16" x14ac:dyDescent="0.25">
      <c r="H227" s="399">
        <v>42501</v>
      </c>
      <c r="I227" s="33">
        <v>84.713800000000006</v>
      </c>
      <c r="J227" s="33">
        <v>47.6</v>
      </c>
      <c r="L227" s="399">
        <v>42500</v>
      </c>
      <c r="M227" s="33">
        <v>1.0292823413086478</v>
      </c>
      <c r="N227" s="33">
        <v>0.92573177278102703</v>
      </c>
      <c r="O227" s="33">
        <v>1.0065703361068987</v>
      </c>
      <c r="P227" s="33">
        <v>0.87935495933326968</v>
      </c>
    </row>
    <row r="228" spans="8:16" x14ac:dyDescent="0.25">
      <c r="H228" s="399">
        <v>42500</v>
      </c>
      <c r="I228" s="33">
        <v>83.360600000000005</v>
      </c>
      <c r="J228" s="33">
        <v>45.52</v>
      </c>
      <c r="L228" s="399">
        <v>42499</v>
      </c>
      <c r="M228" s="33">
        <v>1.0167986745108299</v>
      </c>
      <c r="N228" s="33">
        <v>0.91869949533208328</v>
      </c>
      <c r="O228" s="33">
        <v>1.0008578594477018</v>
      </c>
      <c r="P228" s="33">
        <v>0.87881772341506226</v>
      </c>
    </row>
    <row r="229" spans="8:16" x14ac:dyDescent="0.25">
      <c r="H229" s="399">
        <v>42499</v>
      </c>
      <c r="I229" s="33">
        <v>81.757599999999996</v>
      </c>
      <c r="J229" s="33">
        <v>43.63</v>
      </c>
      <c r="L229" s="399">
        <v>42496</v>
      </c>
      <c r="M229" s="33">
        <v>1.0160452012421168</v>
      </c>
      <c r="N229" s="33">
        <v>0.915228538381613</v>
      </c>
      <c r="O229" s="33">
        <v>0.99266746342114809</v>
      </c>
      <c r="P229" s="33">
        <v>0.90955991808179903</v>
      </c>
    </row>
    <row r="230" spans="8:16" x14ac:dyDescent="0.25">
      <c r="H230" s="399">
        <v>42496</v>
      </c>
      <c r="I230" s="33">
        <v>83.393000000000001</v>
      </c>
      <c r="J230" s="33">
        <v>45.37</v>
      </c>
      <c r="L230" s="399">
        <v>42495</v>
      </c>
      <c r="M230" s="33">
        <v>1.0128705671052907</v>
      </c>
      <c r="N230" s="33">
        <v>0.91528448487536718</v>
      </c>
      <c r="O230" s="33">
        <v>0.98969003394288091</v>
      </c>
      <c r="P230" s="33">
        <v>0.93750919626427609</v>
      </c>
    </row>
    <row r="231" spans="8:16" x14ac:dyDescent="0.25">
      <c r="H231" s="399">
        <v>42495</v>
      </c>
      <c r="I231" s="33">
        <v>82.706599999999995</v>
      </c>
      <c r="J231" s="33">
        <v>45.01</v>
      </c>
      <c r="L231" s="399">
        <v>42494</v>
      </c>
      <c r="M231" s="33">
        <v>1.0131094609779066</v>
      </c>
      <c r="N231" s="33">
        <v>0.92213725993488316</v>
      </c>
      <c r="O231" s="33">
        <v>0.9946987329614716</v>
      </c>
      <c r="P231" s="33">
        <v>0.93714659070535289</v>
      </c>
    </row>
    <row r="232" spans="8:16" x14ac:dyDescent="0.25">
      <c r="H232" s="399">
        <v>42494</v>
      </c>
      <c r="I232" s="33">
        <v>83.353700000000003</v>
      </c>
      <c r="J232" s="33">
        <v>44.62</v>
      </c>
      <c r="L232" s="399">
        <v>42493</v>
      </c>
      <c r="M232" s="33">
        <v>1.0190463506293019</v>
      </c>
      <c r="N232" s="33">
        <v>0.936627980262561</v>
      </c>
      <c r="O232" s="33">
        <v>1.0072001207158028</v>
      </c>
      <c r="P232" s="33">
        <v>0.9376664087605735</v>
      </c>
    </row>
    <row r="233" spans="8:16" x14ac:dyDescent="0.25">
      <c r="H233" s="399">
        <v>42493</v>
      </c>
      <c r="I233" s="33">
        <v>83.577500000000001</v>
      </c>
      <c r="J233" s="33">
        <v>44.97</v>
      </c>
      <c r="L233" s="399">
        <v>42492</v>
      </c>
      <c r="M233" s="33">
        <v>1.027723077687142</v>
      </c>
      <c r="N233" s="33">
        <v>0.95563011812958143</v>
      </c>
      <c r="O233" s="33">
        <v>1.0263555725359836</v>
      </c>
      <c r="P233" s="33">
        <v>0.92195665693543316</v>
      </c>
    </row>
    <row r="234" spans="8:16" x14ac:dyDescent="0.25">
      <c r="H234" s="399">
        <v>42492</v>
      </c>
      <c r="I234" s="33">
        <v>84.72</v>
      </c>
      <c r="J234" s="33">
        <v>45.83</v>
      </c>
      <c r="L234" s="399">
        <v>42489</v>
      </c>
      <c r="M234" s="33">
        <v>1.0199130742978042</v>
      </c>
      <c r="N234" s="33">
        <v>0.94682707141749001</v>
      </c>
      <c r="O234" s="33">
        <v>1.0105540004844284</v>
      </c>
      <c r="P234" s="33">
        <v>0.92195665693543316</v>
      </c>
    </row>
    <row r="235" spans="8:16" x14ac:dyDescent="0.25">
      <c r="H235" s="399">
        <v>42489</v>
      </c>
      <c r="I235" s="33">
        <v>85.520499999999998</v>
      </c>
      <c r="J235" s="33">
        <v>48.13</v>
      </c>
      <c r="L235" s="399">
        <v>42488</v>
      </c>
      <c r="M235" s="33">
        <v>1.0249761581060524</v>
      </c>
      <c r="N235" s="33">
        <v>0.96913049252417238</v>
      </c>
      <c r="O235" s="33">
        <v>1.0290571367995618</v>
      </c>
      <c r="P235" s="33">
        <v>0.9244230051531892</v>
      </c>
    </row>
    <row r="236" spans="8:16" x14ac:dyDescent="0.25">
      <c r="H236" s="399">
        <v>42488</v>
      </c>
      <c r="I236" s="33">
        <v>84.837699999999998</v>
      </c>
      <c r="J236" s="33">
        <v>48.14</v>
      </c>
      <c r="L236" s="399">
        <v>42487</v>
      </c>
      <c r="M236" s="33">
        <v>1.0342070007664823</v>
      </c>
      <c r="N236" s="33">
        <v>0.96958154629683491</v>
      </c>
      <c r="O236" s="33">
        <v>1.0258367886036686</v>
      </c>
      <c r="P236" s="33">
        <v>0.92316991032232965</v>
      </c>
    </row>
    <row r="237" spans="8:16" x14ac:dyDescent="0.25">
      <c r="H237" s="399">
        <v>42487</v>
      </c>
      <c r="I237" s="33">
        <v>84.308999999999997</v>
      </c>
      <c r="J237" s="33">
        <v>47.18</v>
      </c>
      <c r="L237" s="399">
        <v>42486</v>
      </c>
      <c r="M237" s="33">
        <v>1.0325576246609218</v>
      </c>
      <c r="N237" s="33">
        <v>0.96407827982130723</v>
      </c>
      <c r="O237" s="33">
        <v>1.0193370038004681</v>
      </c>
      <c r="P237" s="33">
        <v>0.92851465273055012</v>
      </c>
    </row>
    <row r="238" spans="8:16" x14ac:dyDescent="0.25">
      <c r="H238" s="399">
        <v>42486</v>
      </c>
      <c r="I238" s="33">
        <v>83.838700000000003</v>
      </c>
      <c r="J238" s="33">
        <v>45.74</v>
      </c>
      <c r="L238" s="399">
        <v>42485</v>
      </c>
      <c r="M238" s="33">
        <v>1.0306848309412473</v>
      </c>
      <c r="N238" s="33">
        <v>0.96032397655039126</v>
      </c>
      <c r="O238" s="33">
        <v>1.0201481654567353</v>
      </c>
      <c r="P238" s="33">
        <v>0.92202395518539682</v>
      </c>
    </row>
    <row r="239" spans="8:16" x14ac:dyDescent="0.25">
      <c r="H239" s="399">
        <v>42485</v>
      </c>
      <c r="I239" s="33">
        <v>82.880600000000001</v>
      </c>
      <c r="J239" s="33">
        <v>44.48</v>
      </c>
      <c r="L239" s="399">
        <v>42482</v>
      </c>
      <c r="M239" s="33">
        <v>1.0324968582124967</v>
      </c>
      <c r="N239" s="33">
        <v>0.9640026327915987</v>
      </c>
      <c r="O239" s="33">
        <v>1.0239751004103947</v>
      </c>
      <c r="P239" s="33">
        <v>0.92435419161082688</v>
      </c>
    </row>
    <row r="240" spans="8:16" x14ac:dyDescent="0.25">
      <c r="H240" s="399">
        <v>42482</v>
      </c>
      <c r="I240" s="33">
        <v>83.053700000000006</v>
      </c>
      <c r="J240" s="33">
        <v>45.11</v>
      </c>
      <c r="L240" s="399">
        <v>42481</v>
      </c>
      <c r="M240" s="33">
        <v>1.0324490451805768</v>
      </c>
      <c r="N240" s="33">
        <v>0.97397241384486422</v>
      </c>
      <c r="O240" s="33">
        <v>1.0365379984907799</v>
      </c>
      <c r="P240" s="33">
        <v>0.92567083794127614</v>
      </c>
    </row>
    <row r="241" spans="8:16" x14ac:dyDescent="0.25">
      <c r="H241" s="399">
        <v>42481</v>
      </c>
      <c r="I241" s="33">
        <v>83.587999999999994</v>
      </c>
      <c r="J241" s="33">
        <v>44.53</v>
      </c>
      <c r="L241" s="399">
        <v>42480</v>
      </c>
      <c r="M241" s="33">
        <v>1.0376431091075173</v>
      </c>
      <c r="N241" s="33">
        <v>0.9736221234557414</v>
      </c>
      <c r="O241" s="33">
        <v>1.0377161347151498</v>
      </c>
      <c r="P241" s="33">
        <v>0.93433390097705016</v>
      </c>
    </row>
    <row r="242" spans="8:16" x14ac:dyDescent="0.25">
      <c r="H242" s="399">
        <v>42480</v>
      </c>
      <c r="I242" s="33">
        <v>84.177300000000002</v>
      </c>
      <c r="J242" s="33">
        <v>45.8</v>
      </c>
      <c r="L242" s="399">
        <v>42479</v>
      </c>
      <c r="M242" s="33">
        <v>1.0368814944845166</v>
      </c>
      <c r="N242" s="33">
        <v>0.96848422839140191</v>
      </c>
      <c r="O242" s="33">
        <v>1.0351254591354633</v>
      </c>
      <c r="P242" s="33">
        <v>0.9590636607995664</v>
      </c>
    </row>
    <row r="243" spans="8:16" x14ac:dyDescent="0.25">
      <c r="H243" s="399">
        <v>42479</v>
      </c>
      <c r="I243" s="33">
        <v>82.654300000000006</v>
      </c>
      <c r="J243" s="33">
        <v>44.03</v>
      </c>
      <c r="L243" s="399">
        <v>42478</v>
      </c>
      <c r="M243" s="33">
        <v>1.0337969905357789</v>
      </c>
      <c r="N243" s="33">
        <v>0.94793001743016148</v>
      </c>
      <c r="O243" s="33">
        <v>1.0078646626328016</v>
      </c>
      <c r="P243" s="33">
        <v>0.95326304229233405</v>
      </c>
    </row>
    <row r="244" spans="8:16" x14ac:dyDescent="0.25">
      <c r="H244" s="399">
        <v>42478</v>
      </c>
      <c r="I244" s="33">
        <v>80.678200000000004</v>
      </c>
      <c r="J244" s="33">
        <v>42.91</v>
      </c>
      <c r="L244" s="399">
        <v>42475</v>
      </c>
      <c r="M244" s="33">
        <v>1.0272560169351674</v>
      </c>
      <c r="N244" s="33">
        <v>0.94236011578583168</v>
      </c>
      <c r="O244" s="33">
        <v>0.99861985741290438</v>
      </c>
      <c r="P244" s="33">
        <v>0.96700555551266953</v>
      </c>
    </row>
    <row r="245" spans="8:16" x14ac:dyDescent="0.25">
      <c r="H245" s="399">
        <v>42475</v>
      </c>
      <c r="I245" s="33">
        <v>80.392700000000005</v>
      </c>
      <c r="J245" s="33">
        <v>43.1</v>
      </c>
      <c r="L245" s="399">
        <v>42474</v>
      </c>
      <c r="M245" s="33">
        <v>1.0282402783550006</v>
      </c>
      <c r="N245" s="33">
        <v>0.94156705508954563</v>
      </c>
      <c r="O245" s="33">
        <v>0.99987160830710042</v>
      </c>
      <c r="P245" s="33">
        <v>0.96787423341157841</v>
      </c>
    </row>
    <row r="246" spans="8:16" x14ac:dyDescent="0.25">
      <c r="H246" s="399">
        <v>42474</v>
      </c>
      <c r="I246" s="33">
        <v>80.646199999999993</v>
      </c>
      <c r="J246" s="33">
        <v>43.84</v>
      </c>
      <c r="L246" s="399">
        <v>42473</v>
      </c>
      <c r="M246" s="33">
        <v>1.0280674025662546</v>
      </c>
      <c r="N246" s="33">
        <v>0.93639985516037472</v>
      </c>
      <c r="O246" s="33">
        <v>0.99509639180458564</v>
      </c>
      <c r="P246" s="33">
        <v>0.96330510791125223</v>
      </c>
    </row>
    <row r="247" spans="8:16" x14ac:dyDescent="0.25">
      <c r="H247" s="399">
        <v>42473</v>
      </c>
      <c r="I247" s="33">
        <v>81.244600000000005</v>
      </c>
      <c r="J247" s="33">
        <v>44.18</v>
      </c>
      <c r="L247" s="399">
        <v>42472</v>
      </c>
      <c r="M247" s="33">
        <v>1.0180272419236842</v>
      </c>
      <c r="N247" s="33">
        <v>0.9114778468270337</v>
      </c>
      <c r="O247" s="33">
        <v>0.97602233643939429</v>
      </c>
      <c r="P247" s="33">
        <v>0.95151268810782019</v>
      </c>
    </row>
    <row r="248" spans="8:16" x14ac:dyDescent="0.25">
      <c r="H248" s="399">
        <v>42472</v>
      </c>
      <c r="I248" s="33">
        <v>80.891099999999994</v>
      </c>
      <c r="J248" s="33">
        <v>44.69</v>
      </c>
      <c r="L248" s="399">
        <v>42471</v>
      </c>
      <c r="M248" s="33">
        <v>1.008365098622297</v>
      </c>
      <c r="N248" s="33">
        <v>0.90871979919080736</v>
      </c>
      <c r="O248" s="33">
        <v>0.97127368223792621</v>
      </c>
      <c r="P248" s="33">
        <v>0.95555859055684378</v>
      </c>
    </row>
    <row r="249" spans="8:16" x14ac:dyDescent="0.25">
      <c r="H249" s="399">
        <v>42471</v>
      </c>
      <c r="I249" s="33">
        <v>79.282499999999999</v>
      </c>
      <c r="J249" s="33">
        <v>42.83</v>
      </c>
      <c r="L249" s="399">
        <v>42468</v>
      </c>
      <c r="M249" s="33">
        <v>1.0111048915506031</v>
      </c>
      <c r="N249" s="33">
        <v>0.90389679849413906</v>
      </c>
      <c r="O249" s="33">
        <v>0.96434469481420027</v>
      </c>
      <c r="P249" s="33">
        <v>0.93805762401380299</v>
      </c>
    </row>
    <row r="250" spans="8:16" x14ac:dyDescent="0.25">
      <c r="H250" s="399">
        <v>42468</v>
      </c>
      <c r="I250" s="33">
        <v>79.028800000000004</v>
      </c>
      <c r="J250" s="33">
        <v>41.94</v>
      </c>
      <c r="L250" s="399">
        <v>42467</v>
      </c>
      <c r="M250" s="33">
        <v>1.0083182848931109</v>
      </c>
      <c r="N250" s="33">
        <v>0.88706100646559438</v>
      </c>
      <c r="O250" s="33">
        <v>0.95197817144768182</v>
      </c>
      <c r="P250" s="33">
        <v>0.9465007766706397</v>
      </c>
    </row>
    <row r="251" spans="8:16" x14ac:dyDescent="0.25">
      <c r="H251" s="399">
        <v>42467</v>
      </c>
      <c r="I251" s="33">
        <v>77.451899999999995</v>
      </c>
      <c r="J251" s="33">
        <v>39.43</v>
      </c>
      <c r="L251" s="399">
        <v>42466</v>
      </c>
      <c r="M251" s="33">
        <v>1.0202941299764818</v>
      </c>
      <c r="N251" s="33">
        <v>0.90342230864969442</v>
      </c>
      <c r="O251" s="33">
        <v>0.96511666452646061</v>
      </c>
      <c r="P251" s="33">
        <v>0.95795983309676624</v>
      </c>
    </row>
    <row r="252" spans="8:16" x14ac:dyDescent="0.25">
      <c r="H252" s="399">
        <v>42466</v>
      </c>
      <c r="I252" s="33">
        <v>77.648099999999999</v>
      </c>
      <c r="J252" s="33">
        <v>39.840000000000003</v>
      </c>
      <c r="L252" s="399">
        <v>42465</v>
      </c>
      <c r="M252" s="33">
        <v>1.0097864460186692</v>
      </c>
      <c r="N252" s="33">
        <v>0.8951670304692656</v>
      </c>
      <c r="O252" s="33">
        <v>0.95704461762722559</v>
      </c>
      <c r="P252" s="33">
        <v>0.95870818866042895</v>
      </c>
    </row>
    <row r="253" spans="8:16" x14ac:dyDescent="0.25">
      <c r="H253" s="399">
        <v>42465</v>
      </c>
      <c r="I253" s="33">
        <v>76.972499999999997</v>
      </c>
      <c r="J253" s="33">
        <v>37.869999999999997</v>
      </c>
      <c r="L253" s="399">
        <v>42464</v>
      </c>
      <c r="M253" s="33">
        <v>1.0199310158182464</v>
      </c>
      <c r="N253" s="33">
        <v>0.91936335169235806</v>
      </c>
      <c r="O253" s="33">
        <v>0.98329979606627216</v>
      </c>
      <c r="P253" s="33">
        <v>0.94425805153375997</v>
      </c>
    </row>
    <row r="254" spans="8:16" x14ac:dyDescent="0.25">
      <c r="H254" s="399">
        <v>42464</v>
      </c>
      <c r="I254" s="33">
        <v>77.181700000000006</v>
      </c>
      <c r="J254" s="33">
        <v>37.69</v>
      </c>
      <c r="L254" s="399">
        <v>42461</v>
      </c>
      <c r="M254" s="33">
        <v>1.0231392675381588</v>
      </c>
      <c r="N254" s="33">
        <v>0.91605174859569982</v>
      </c>
      <c r="O254" s="33">
        <v>0.98023413949537863</v>
      </c>
      <c r="P254" s="33">
        <v>0.94425805153375997</v>
      </c>
    </row>
    <row r="255" spans="8:16" x14ac:dyDescent="0.25">
      <c r="H255" s="399">
        <v>42461</v>
      </c>
      <c r="I255" s="33">
        <v>77.941699999999997</v>
      </c>
      <c r="J255" s="33">
        <v>38.67</v>
      </c>
      <c r="L255" s="399">
        <v>42460</v>
      </c>
      <c r="M255" s="33">
        <v>1.0168083714056371</v>
      </c>
      <c r="N255" s="33">
        <v>0.93229022787110649</v>
      </c>
      <c r="O255" s="33">
        <v>0.99643033709233686</v>
      </c>
      <c r="P255" s="33">
        <v>0.94639418315519519</v>
      </c>
    </row>
    <row r="256" spans="8:16" x14ac:dyDescent="0.25">
      <c r="H256" s="399">
        <v>42460</v>
      </c>
      <c r="I256" s="33">
        <v>78.827200000000005</v>
      </c>
      <c r="J256" s="33">
        <v>39.6</v>
      </c>
      <c r="L256" s="399">
        <v>42459</v>
      </c>
      <c r="M256" s="33">
        <v>1.0188481495010366</v>
      </c>
      <c r="N256" s="33">
        <v>0.93975076128095836</v>
      </c>
      <c r="O256" s="33">
        <v>0.99906947163194149</v>
      </c>
      <c r="P256" s="33">
        <v>0.9436442096763662</v>
      </c>
    </row>
    <row r="257" spans="8:16" x14ac:dyDescent="0.25">
      <c r="H257" s="399">
        <v>42459</v>
      </c>
      <c r="I257" s="33">
        <v>78.929299999999998</v>
      </c>
      <c r="J257" s="33">
        <v>39.26</v>
      </c>
      <c r="L257" s="399">
        <v>42458</v>
      </c>
      <c r="M257" s="33">
        <v>1.0144978057070895</v>
      </c>
      <c r="N257" s="33">
        <v>0.92183910474920761</v>
      </c>
      <c r="O257" s="33">
        <v>0.9781521282549237</v>
      </c>
      <c r="P257" s="33">
        <v>0.9093525752450935</v>
      </c>
    </row>
    <row r="258" spans="8:16" x14ac:dyDescent="0.25">
      <c r="H258" s="399">
        <v>42458</v>
      </c>
      <c r="I258" s="33">
        <v>79.307199999999995</v>
      </c>
      <c r="J258" s="33">
        <v>39.14</v>
      </c>
      <c r="L258" s="399">
        <v>42457</v>
      </c>
      <c r="M258" s="33">
        <v>1.0056811345404513</v>
      </c>
      <c r="N258" s="33">
        <v>0.90866023382382566</v>
      </c>
      <c r="O258" s="33">
        <v>0.96734920190425733</v>
      </c>
      <c r="P258" s="33">
        <v>0.92425973796858352</v>
      </c>
    </row>
    <row r="259" spans="8:16" x14ac:dyDescent="0.25">
      <c r="H259" s="399">
        <v>42457</v>
      </c>
      <c r="I259" s="33">
        <v>79.483500000000006</v>
      </c>
      <c r="J259" s="33">
        <v>40.270000000000003</v>
      </c>
      <c r="L259" s="399">
        <v>42453</v>
      </c>
      <c r="M259" s="33">
        <v>1.0051359318331023</v>
      </c>
      <c r="N259" s="33">
        <v>0.90866023382382566</v>
      </c>
      <c r="O259" s="33">
        <v>0.96734920190425733</v>
      </c>
      <c r="P259" s="33">
        <v>0.92143030402043813</v>
      </c>
    </row>
    <row r="260" spans="8:16" x14ac:dyDescent="0.25">
      <c r="H260" s="399">
        <v>42453</v>
      </c>
      <c r="I260" s="33">
        <v>79.2517</v>
      </c>
      <c r="J260" s="33">
        <v>40.44</v>
      </c>
      <c r="L260" s="399">
        <v>42452</v>
      </c>
      <c r="M260" s="33">
        <v>1.0055139925290284</v>
      </c>
      <c r="N260" s="33">
        <v>0.9267891677590645</v>
      </c>
      <c r="O260" s="33">
        <v>0.98429219139722646</v>
      </c>
      <c r="P260" s="33">
        <v>0.93975924230185348</v>
      </c>
    </row>
    <row r="261" spans="8:16" x14ac:dyDescent="0.25">
      <c r="H261" s="399">
        <v>42452</v>
      </c>
      <c r="I261" s="33">
        <v>79.575699999999998</v>
      </c>
      <c r="J261" s="33">
        <v>40.47</v>
      </c>
      <c r="L261" s="399">
        <v>42451</v>
      </c>
      <c r="M261" s="33">
        <v>1.0118999814059921</v>
      </c>
      <c r="N261" s="33">
        <v>0.93296441504005911</v>
      </c>
      <c r="O261" s="33">
        <v>0.9843041844971796</v>
      </c>
      <c r="P261" s="33">
        <v>0.93864879605018814</v>
      </c>
    </row>
    <row r="262" spans="8:16" x14ac:dyDescent="0.25">
      <c r="H262" s="399">
        <v>42451</v>
      </c>
      <c r="I262" s="33">
        <v>81.230099999999993</v>
      </c>
      <c r="J262" s="33">
        <v>41.79</v>
      </c>
      <c r="L262" s="399">
        <v>42450</v>
      </c>
      <c r="M262" s="33">
        <v>1.0127773454145705</v>
      </c>
      <c r="N262" s="33">
        <v>0.93464866248255785</v>
      </c>
      <c r="O262" s="33">
        <v>0.98264625514350623</v>
      </c>
      <c r="P262" s="33">
        <v>0.94599160112599812</v>
      </c>
    </row>
    <row r="263" spans="8:16" x14ac:dyDescent="0.25">
      <c r="H263" s="399">
        <v>42450</v>
      </c>
      <c r="I263" s="33">
        <v>80.788499999999999</v>
      </c>
      <c r="J263" s="33">
        <v>41.54</v>
      </c>
      <c r="L263" s="399">
        <v>42447</v>
      </c>
      <c r="M263" s="33">
        <v>1.0117917776397096</v>
      </c>
      <c r="N263" s="33">
        <v>0.94054140279459153</v>
      </c>
      <c r="O263" s="33">
        <v>0.98516882499470992</v>
      </c>
      <c r="P263" s="33">
        <v>0.92601264863772825</v>
      </c>
    </row>
    <row r="264" spans="8:16" x14ac:dyDescent="0.25">
      <c r="H264" s="399">
        <v>42447</v>
      </c>
      <c r="I264" s="33">
        <v>80.755700000000004</v>
      </c>
      <c r="J264" s="33">
        <v>41.2</v>
      </c>
      <c r="L264" s="399">
        <v>42446</v>
      </c>
      <c r="M264" s="33">
        <v>1.007386189059936</v>
      </c>
      <c r="N264" s="33">
        <v>0.93888353100622157</v>
      </c>
      <c r="O264" s="33">
        <v>0.98306676922139125</v>
      </c>
      <c r="P264" s="33">
        <v>0.90815612951501157</v>
      </c>
    </row>
    <row r="265" spans="8:16" x14ac:dyDescent="0.25">
      <c r="H265" s="399">
        <v>42446</v>
      </c>
      <c r="I265" s="33">
        <v>81.288799999999995</v>
      </c>
      <c r="J265" s="33">
        <v>41.54</v>
      </c>
      <c r="L265" s="399">
        <v>42445</v>
      </c>
      <c r="M265" s="33">
        <v>1.000790950260003</v>
      </c>
      <c r="N265" s="33">
        <v>0.92399975652074251</v>
      </c>
      <c r="O265" s="33">
        <v>0.97119299701620077</v>
      </c>
      <c r="P265" s="33">
        <v>0.88882552362021627</v>
      </c>
    </row>
    <row r="266" spans="8:16" x14ac:dyDescent="0.25">
      <c r="H266" s="399">
        <v>42445</v>
      </c>
      <c r="I266" s="33">
        <v>79.599900000000005</v>
      </c>
      <c r="J266" s="33">
        <v>40.33</v>
      </c>
      <c r="L266" s="399">
        <v>42444</v>
      </c>
      <c r="M266" s="33">
        <v>0.9951905573892188</v>
      </c>
      <c r="N266" s="33">
        <v>0.9281978247711975</v>
      </c>
      <c r="O266" s="33">
        <v>0.96873653683381677</v>
      </c>
      <c r="P266" s="33">
        <v>0.88850700543572358</v>
      </c>
    </row>
    <row r="267" spans="8:16" x14ac:dyDescent="0.25">
      <c r="H267" s="399">
        <v>42444</v>
      </c>
      <c r="I267" s="33">
        <v>78.820700000000002</v>
      </c>
      <c r="J267" s="33">
        <v>38.74</v>
      </c>
      <c r="L267" s="399">
        <v>42443</v>
      </c>
      <c r="M267" s="33">
        <v>0.99702751843178072</v>
      </c>
      <c r="N267" s="33">
        <v>0.9338821569238771</v>
      </c>
      <c r="O267" s="33">
        <v>0.97205078438424652</v>
      </c>
      <c r="P267" s="33">
        <v>0.888388802899861</v>
      </c>
    </row>
    <row r="268" spans="8:16" x14ac:dyDescent="0.25">
      <c r="H268" s="399">
        <v>42443</v>
      </c>
      <c r="I268" s="33">
        <v>79.429500000000004</v>
      </c>
      <c r="J268" s="33">
        <v>39.53</v>
      </c>
      <c r="L268" s="399">
        <v>42440</v>
      </c>
      <c r="M268" s="33">
        <v>0.99828852753577202</v>
      </c>
      <c r="N268" s="33">
        <v>0.93436960398820412</v>
      </c>
      <c r="O268" s="33">
        <v>0.96233176040559143</v>
      </c>
      <c r="P268" s="33">
        <v>0.87434450112675188</v>
      </c>
    </row>
    <row r="269" spans="8:16" x14ac:dyDescent="0.25">
      <c r="H269" s="399">
        <v>42440</v>
      </c>
      <c r="I269" s="33">
        <v>79.947100000000006</v>
      </c>
      <c r="J269" s="33">
        <v>40.39</v>
      </c>
      <c r="L269" s="399">
        <v>42439</v>
      </c>
      <c r="M269" s="33">
        <v>0.98189302498999576</v>
      </c>
      <c r="N269" s="33">
        <v>0.90320423171278952</v>
      </c>
      <c r="O269" s="33">
        <v>0.93078814592446868</v>
      </c>
      <c r="P269" s="33">
        <v>0.86760554904901133</v>
      </c>
    </row>
    <row r="270" spans="8:16" x14ac:dyDescent="0.25">
      <c r="H270" s="399">
        <v>42439</v>
      </c>
      <c r="I270" s="33">
        <v>79.379599999999996</v>
      </c>
      <c r="J270" s="33">
        <v>40.049999999999997</v>
      </c>
      <c r="L270" s="399">
        <v>42438</v>
      </c>
      <c r="M270" s="33">
        <v>0.9817371881461443</v>
      </c>
      <c r="N270" s="33">
        <v>0.90352098379265411</v>
      </c>
      <c r="O270" s="33">
        <v>0.93930825818804364</v>
      </c>
      <c r="P270" s="33">
        <v>0.88714569043510827</v>
      </c>
    </row>
    <row r="271" spans="8:16" x14ac:dyDescent="0.25">
      <c r="H271" s="399">
        <v>42438</v>
      </c>
      <c r="I271" s="33">
        <v>79.444500000000005</v>
      </c>
      <c r="J271" s="33">
        <v>41.07</v>
      </c>
      <c r="L271" s="399">
        <v>42437</v>
      </c>
      <c r="M271" s="33">
        <v>0.97668479482742931</v>
      </c>
      <c r="N271" s="33">
        <v>0.89788903104978379</v>
      </c>
      <c r="O271" s="33">
        <v>0.93527501867880525</v>
      </c>
      <c r="P271" s="33">
        <v>0.90231674162230635</v>
      </c>
    </row>
    <row r="272" spans="8:16" x14ac:dyDescent="0.25">
      <c r="H272" s="399">
        <v>42437</v>
      </c>
      <c r="I272" s="33">
        <v>78.424099999999996</v>
      </c>
      <c r="J272" s="33">
        <v>39.65</v>
      </c>
      <c r="L272" s="399">
        <v>42436</v>
      </c>
      <c r="M272" s="33">
        <v>0.98792490353176965</v>
      </c>
      <c r="N272" s="33">
        <v>0.90438498483881058</v>
      </c>
      <c r="O272" s="33">
        <v>0.94426049603939344</v>
      </c>
      <c r="P272" s="33">
        <v>0.89930249482980229</v>
      </c>
    </row>
    <row r="273" spans="8:16" x14ac:dyDescent="0.25">
      <c r="H273" s="399">
        <v>42436</v>
      </c>
      <c r="I273" s="33">
        <v>79.296000000000006</v>
      </c>
      <c r="J273" s="33">
        <v>40.840000000000003</v>
      </c>
      <c r="L273" s="399">
        <v>42433</v>
      </c>
      <c r="M273" s="33">
        <v>0.9870398991067475</v>
      </c>
      <c r="N273" s="33">
        <v>0.90765824428801922</v>
      </c>
      <c r="O273" s="33">
        <v>0.94678383001610555</v>
      </c>
      <c r="P273" s="33">
        <v>0.89166656876250427</v>
      </c>
    </row>
    <row r="274" spans="8:16" x14ac:dyDescent="0.25">
      <c r="H274" s="399">
        <v>42433</v>
      </c>
      <c r="I274" s="33">
        <v>78.382800000000003</v>
      </c>
      <c r="J274" s="33">
        <v>38.72</v>
      </c>
      <c r="L274" s="399">
        <v>42432</v>
      </c>
      <c r="M274" s="33">
        <v>0.98373398960539316</v>
      </c>
      <c r="N274" s="33">
        <v>0.89474391403232167</v>
      </c>
      <c r="O274" s="33">
        <v>0.93458924283846279</v>
      </c>
      <c r="P274" s="33">
        <v>0.88306819918713253</v>
      </c>
    </row>
    <row r="275" spans="8:16" x14ac:dyDescent="0.25">
      <c r="H275" s="399">
        <v>42432</v>
      </c>
      <c r="I275" s="33">
        <v>76.869200000000006</v>
      </c>
      <c r="J275" s="33">
        <v>37.07</v>
      </c>
      <c r="L275" s="399">
        <v>42431</v>
      </c>
      <c r="M275" s="33">
        <v>0.9802352858877057</v>
      </c>
      <c r="N275" s="33">
        <v>0.88926842870290534</v>
      </c>
      <c r="O275" s="33">
        <v>0.9285682877693382</v>
      </c>
      <c r="P275" s="33">
        <v>0.87661292561869653</v>
      </c>
    </row>
    <row r="276" spans="8:16" x14ac:dyDescent="0.25">
      <c r="H276" s="399">
        <v>42431</v>
      </c>
      <c r="I276" s="33">
        <v>76.460599999999999</v>
      </c>
      <c r="J276" s="33">
        <v>36.93</v>
      </c>
      <c r="L276" s="399">
        <v>42430</v>
      </c>
      <c r="M276" s="33">
        <v>0.97614096486260893</v>
      </c>
      <c r="N276" s="33">
        <v>0.88113920129698431</v>
      </c>
      <c r="O276" s="33">
        <v>0.92291252831581327</v>
      </c>
      <c r="P276" s="33">
        <v>0.83380932472403213</v>
      </c>
    </row>
    <row r="277" spans="8:16" x14ac:dyDescent="0.25">
      <c r="H277" s="399">
        <v>42430</v>
      </c>
      <c r="I277" s="33">
        <v>76.084699999999998</v>
      </c>
      <c r="J277" s="33">
        <v>36.81</v>
      </c>
      <c r="L277" s="399">
        <v>42429</v>
      </c>
      <c r="M277" s="33">
        <v>0.95227217077494863</v>
      </c>
      <c r="N277" s="33">
        <v>0.86553845794574946</v>
      </c>
      <c r="O277" s="33">
        <v>0.90115781336606804</v>
      </c>
      <c r="P277" s="33">
        <v>0.81670215247014188</v>
      </c>
    </row>
    <row r="278" spans="8:16" x14ac:dyDescent="0.25">
      <c r="H278" s="399">
        <v>42429</v>
      </c>
      <c r="I278" s="33">
        <v>75.946299999999994</v>
      </c>
      <c r="J278" s="33">
        <v>35.97</v>
      </c>
      <c r="L278" s="399">
        <v>42426</v>
      </c>
      <c r="M278" s="33">
        <v>0.96039311222922352</v>
      </c>
      <c r="N278" s="33">
        <v>0.86447726849559614</v>
      </c>
      <c r="O278" s="33">
        <v>0.90760737690539517</v>
      </c>
      <c r="P278" s="33">
        <v>0.84773521221243509</v>
      </c>
    </row>
    <row r="279" spans="8:16" x14ac:dyDescent="0.25">
      <c r="H279" s="399">
        <v>42426</v>
      </c>
      <c r="I279" s="33">
        <v>75.461699999999993</v>
      </c>
      <c r="J279" s="33">
        <v>35.1</v>
      </c>
      <c r="L279" s="399">
        <v>42425</v>
      </c>
      <c r="M279" s="33">
        <v>0.96226327670122247</v>
      </c>
      <c r="N279" s="33">
        <v>0.85719110033204649</v>
      </c>
      <c r="O279" s="33">
        <v>0.8988338705257144</v>
      </c>
      <c r="P279" s="33">
        <v>0.83886565880087915</v>
      </c>
    </row>
    <row r="280" spans="8:16" x14ac:dyDescent="0.25">
      <c r="H280" s="399">
        <v>42425</v>
      </c>
      <c r="I280" s="33">
        <v>75.744299999999996</v>
      </c>
      <c r="J280" s="33">
        <v>35.29</v>
      </c>
      <c r="L280" s="399">
        <v>42424</v>
      </c>
      <c r="M280" s="33">
        <v>0.95091495044979735</v>
      </c>
      <c r="N280" s="33">
        <v>0.83534289885115953</v>
      </c>
      <c r="O280" s="33">
        <v>0.87941038192311316</v>
      </c>
      <c r="P280" s="33">
        <v>0.9033927603512073</v>
      </c>
    </row>
    <row r="281" spans="8:16" x14ac:dyDescent="0.25">
      <c r="H281" s="399">
        <v>42424</v>
      </c>
      <c r="I281" s="33">
        <v>75.774699999999996</v>
      </c>
      <c r="J281" s="33">
        <v>34.409999999999997</v>
      </c>
      <c r="L281" s="399">
        <v>42423</v>
      </c>
      <c r="M281" s="33">
        <v>0.94647517884039312</v>
      </c>
      <c r="N281" s="33">
        <v>0.85832989786058422</v>
      </c>
      <c r="O281" s="33">
        <v>0.90558434581135794</v>
      </c>
      <c r="P281" s="33">
        <v>0.89466470332871095</v>
      </c>
    </row>
    <row r="282" spans="8:16" x14ac:dyDescent="0.25">
      <c r="H282" s="399">
        <v>42423</v>
      </c>
      <c r="I282" s="33">
        <v>75.175299999999993</v>
      </c>
      <c r="J282" s="33">
        <v>33.270000000000003</v>
      </c>
      <c r="L282" s="399">
        <v>42422</v>
      </c>
      <c r="M282" s="33">
        <v>0.95892956074735802</v>
      </c>
      <c r="N282" s="33">
        <v>0.87481397102622793</v>
      </c>
      <c r="O282" s="33">
        <v>0.92258920925444632</v>
      </c>
      <c r="P282" s="33">
        <v>0.90407102891260993</v>
      </c>
    </row>
    <row r="283" spans="8:16" x14ac:dyDescent="0.25">
      <c r="H283" s="399">
        <v>42422</v>
      </c>
      <c r="I283" s="33">
        <v>75.973200000000006</v>
      </c>
      <c r="J283" s="33">
        <v>34.69</v>
      </c>
      <c r="L283" s="399">
        <v>42419</v>
      </c>
      <c r="M283" s="33">
        <v>0.94447534806394273</v>
      </c>
      <c r="N283" s="33">
        <v>0.86219367933542612</v>
      </c>
      <c r="O283" s="33">
        <v>0.91208053163895642</v>
      </c>
      <c r="P283" s="33">
        <v>0.8806534502686798</v>
      </c>
    </row>
    <row r="284" spans="8:16" x14ac:dyDescent="0.25">
      <c r="H284" s="399">
        <v>42419</v>
      </c>
      <c r="I284" s="33">
        <v>75.105800000000002</v>
      </c>
      <c r="J284" s="33">
        <v>33.01</v>
      </c>
      <c r="L284" s="399">
        <v>42418</v>
      </c>
      <c r="M284" s="33">
        <v>0.9445014191964205</v>
      </c>
      <c r="N284" s="33">
        <v>0.86926882204264611</v>
      </c>
      <c r="O284" s="33">
        <v>0.91881842959373827</v>
      </c>
      <c r="P284" s="33">
        <v>0.88260638387244184</v>
      </c>
    </row>
    <row r="285" spans="8:16" x14ac:dyDescent="0.25">
      <c r="H285" s="399">
        <v>42418</v>
      </c>
      <c r="I285" s="33">
        <v>75.745500000000007</v>
      </c>
      <c r="J285" s="33">
        <v>34.28</v>
      </c>
      <c r="L285" s="399">
        <v>42417</v>
      </c>
      <c r="M285" s="33">
        <v>0.94916713784164952</v>
      </c>
      <c r="N285" s="33">
        <v>0.87284515216647285</v>
      </c>
      <c r="O285" s="33">
        <v>0.91231803568031422</v>
      </c>
      <c r="P285" s="33">
        <v>0.88240960440459149</v>
      </c>
    </row>
    <row r="286" spans="8:16" x14ac:dyDescent="0.25">
      <c r="H286" s="399">
        <v>42417</v>
      </c>
      <c r="I286" s="33">
        <v>76.028800000000004</v>
      </c>
      <c r="J286" s="33">
        <v>34.5</v>
      </c>
      <c r="L286" s="399">
        <v>42416</v>
      </c>
      <c r="M286" s="33">
        <v>0.93268669386144287</v>
      </c>
      <c r="N286" s="33">
        <v>0.84500600435139939</v>
      </c>
      <c r="O286" s="33">
        <v>0.88507857237169918</v>
      </c>
      <c r="P286" s="33">
        <v>0.87329759477737268</v>
      </c>
    </row>
    <row r="287" spans="8:16" x14ac:dyDescent="0.25">
      <c r="H287" s="399">
        <v>42416</v>
      </c>
      <c r="I287" s="33">
        <v>74.7166</v>
      </c>
      <c r="J287" s="33">
        <v>32.18</v>
      </c>
      <c r="L287" s="399">
        <v>42412</v>
      </c>
      <c r="M287" s="33">
        <v>0.91617000020320982</v>
      </c>
      <c r="N287" s="33">
        <v>0.83130741774663952</v>
      </c>
      <c r="O287" s="33">
        <v>0.876262296592768</v>
      </c>
      <c r="P287" s="33">
        <v>0.83796811345030298</v>
      </c>
    </row>
    <row r="288" spans="8:16" x14ac:dyDescent="0.25">
      <c r="H288" s="399">
        <v>42412</v>
      </c>
      <c r="I288" s="33">
        <v>75.438900000000004</v>
      </c>
      <c r="J288" s="33">
        <v>33.36</v>
      </c>
      <c r="L288" s="399">
        <v>42411</v>
      </c>
      <c r="M288" s="33">
        <v>0.89665199114947791</v>
      </c>
      <c r="N288" s="33">
        <v>0.8106475051387616</v>
      </c>
      <c r="O288" s="33">
        <v>0.85933584616871528</v>
      </c>
      <c r="P288" s="33">
        <v>0.83796811345030298</v>
      </c>
    </row>
    <row r="289" spans="8:16" x14ac:dyDescent="0.25">
      <c r="H289" s="399">
        <v>42411</v>
      </c>
      <c r="I289" s="33">
        <v>73.957800000000006</v>
      </c>
      <c r="J289" s="33">
        <v>30.06</v>
      </c>
      <c r="L289" s="399">
        <v>42410</v>
      </c>
      <c r="M289" s="33">
        <v>0.90895313702443614</v>
      </c>
      <c r="N289" s="33">
        <v>0.84097731642479068</v>
      </c>
      <c r="O289" s="33">
        <v>0.87992868914133004</v>
      </c>
      <c r="P289" s="33">
        <v>0.83796811345030298</v>
      </c>
    </row>
    <row r="290" spans="8:16" x14ac:dyDescent="0.25">
      <c r="H290" s="399">
        <v>42410</v>
      </c>
      <c r="I290" s="33">
        <v>73.915999999999997</v>
      </c>
      <c r="J290" s="33">
        <v>30.84</v>
      </c>
      <c r="L290" s="399">
        <v>42409</v>
      </c>
      <c r="M290" s="33">
        <v>0.90914210047890398</v>
      </c>
      <c r="N290" s="33">
        <v>0.82916273306160648</v>
      </c>
      <c r="O290" s="33">
        <v>0.87176168725286884</v>
      </c>
      <c r="P290" s="33">
        <v>0.83796811345030298</v>
      </c>
    </row>
    <row r="291" spans="8:16" x14ac:dyDescent="0.25">
      <c r="H291" s="399">
        <v>42409</v>
      </c>
      <c r="I291" s="33">
        <v>74.002799999999993</v>
      </c>
      <c r="J291" s="33">
        <v>30.32</v>
      </c>
      <c r="L291" s="399">
        <v>42408</v>
      </c>
      <c r="M291" s="33">
        <v>0.90980573134906972</v>
      </c>
      <c r="N291" s="33">
        <v>0.83378933283809142</v>
      </c>
      <c r="O291" s="33">
        <v>0.86996287128820859</v>
      </c>
      <c r="P291" s="33">
        <v>0.83796811345030298</v>
      </c>
    </row>
    <row r="292" spans="8:16" x14ac:dyDescent="0.25">
      <c r="H292" s="399">
        <v>42408</v>
      </c>
      <c r="I292" s="33">
        <v>75.504800000000003</v>
      </c>
      <c r="J292" s="33">
        <v>32.880000000000003</v>
      </c>
      <c r="L292" s="399">
        <v>42405</v>
      </c>
      <c r="M292" s="33">
        <v>0.92395961023526962</v>
      </c>
      <c r="N292" s="33">
        <v>0.86425376823970179</v>
      </c>
      <c r="O292" s="33">
        <v>0.90075157777867609</v>
      </c>
      <c r="P292" s="33">
        <v>0.83796811345030298</v>
      </c>
    </row>
    <row r="293" spans="8:16" x14ac:dyDescent="0.25">
      <c r="H293" s="399">
        <v>42405</v>
      </c>
      <c r="I293" s="33">
        <v>75.596500000000006</v>
      </c>
      <c r="J293" s="33">
        <v>34.06</v>
      </c>
      <c r="L293" s="399">
        <v>42404</v>
      </c>
      <c r="M293" s="33">
        <v>0.9424409070584705</v>
      </c>
      <c r="N293" s="33">
        <v>0.87830576768886126</v>
      </c>
      <c r="O293" s="33">
        <v>0.91727731216849229</v>
      </c>
      <c r="P293" s="33">
        <v>0.84531511709048424</v>
      </c>
    </row>
    <row r="294" spans="8:16" x14ac:dyDescent="0.25">
      <c r="H294" s="399">
        <v>42404</v>
      </c>
      <c r="I294" s="33">
        <v>76.141900000000007</v>
      </c>
      <c r="J294" s="33">
        <v>34.46</v>
      </c>
      <c r="L294" s="399">
        <v>42403</v>
      </c>
      <c r="M294" s="33">
        <v>0.94091413362223686</v>
      </c>
      <c r="N294" s="33">
        <v>0.86343908272999847</v>
      </c>
      <c r="O294" s="33">
        <v>0.90988562627069558</v>
      </c>
      <c r="P294" s="33">
        <v>0.8283941738826992</v>
      </c>
    </row>
    <row r="295" spans="8:16" x14ac:dyDescent="0.25">
      <c r="H295" s="399">
        <v>42403</v>
      </c>
      <c r="I295" s="33">
        <v>76.271799999999999</v>
      </c>
      <c r="J295" s="33">
        <v>35.04</v>
      </c>
      <c r="L295" s="399">
        <v>42402</v>
      </c>
      <c r="M295" s="33">
        <v>0.93592209461076559</v>
      </c>
      <c r="N295" s="33">
        <v>0.86811474721391635</v>
      </c>
      <c r="O295" s="33">
        <v>0.91106639932566136</v>
      </c>
      <c r="P295" s="33">
        <v>0.83202746410346973</v>
      </c>
    </row>
    <row r="296" spans="8:16" x14ac:dyDescent="0.25">
      <c r="H296" s="399">
        <v>42402</v>
      </c>
      <c r="I296" s="33">
        <v>74.849999999999994</v>
      </c>
      <c r="J296" s="33">
        <v>32.72</v>
      </c>
      <c r="L296" s="399">
        <v>42401</v>
      </c>
      <c r="M296" s="33">
        <v>0.95466519807682193</v>
      </c>
      <c r="N296" s="33">
        <v>0.88930310092808762</v>
      </c>
      <c r="O296" s="33">
        <v>0.92747622924101014</v>
      </c>
      <c r="P296" s="33">
        <v>0.80916675795933068</v>
      </c>
    </row>
    <row r="297" spans="8:16" x14ac:dyDescent="0.25">
      <c r="H297" s="399">
        <v>42401</v>
      </c>
      <c r="I297" s="33">
        <v>75.952600000000004</v>
      </c>
      <c r="J297" s="33">
        <v>34.24</v>
      </c>
      <c r="L297" s="399">
        <v>42398</v>
      </c>
      <c r="M297" s="33">
        <v>0.9551084422115681</v>
      </c>
      <c r="N297" s="33">
        <v>0.89281912582703371</v>
      </c>
      <c r="O297" s="33">
        <v>0.92717352758071159</v>
      </c>
      <c r="P297" s="33">
        <v>0.82761482443497947</v>
      </c>
    </row>
    <row r="298" spans="8:16" x14ac:dyDescent="0.25">
      <c r="H298" s="399">
        <v>42398</v>
      </c>
      <c r="I298" s="33">
        <v>77.223399999999998</v>
      </c>
      <c r="J298" s="33">
        <v>34.74</v>
      </c>
      <c r="L298" s="399">
        <v>42397</v>
      </c>
      <c r="M298" s="33">
        <v>0.93034822756670388</v>
      </c>
      <c r="N298" s="33">
        <v>0.88030259971188496</v>
      </c>
      <c r="O298" s="33">
        <v>0.92020136954978149</v>
      </c>
      <c r="P298" s="33">
        <v>0.79632140030010756</v>
      </c>
    </row>
    <row r="299" spans="8:16" x14ac:dyDescent="0.25">
      <c r="H299" s="399">
        <v>42397</v>
      </c>
      <c r="I299" s="33">
        <v>76.104900000000001</v>
      </c>
      <c r="J299" s="33">
        <v>33.89</v>
      </c>
      <c r="L299" s="399">
        <v>42396</v>
      </c>
      <c r="M299" s="33">
        <v>0.92481966865648335</v>
      </c>
      <c r="N299" s="33">
        <v>0.89477448490511247</v>
      </c>
      <c r="O299" s="33">
        <v>0.93806481372256556</v>
      </c>
      <c r="P299" s="33">
        <v>0.82555775374985574</v>
      </c>
    </row>
    <row r="300" spans="8:16" x14ac:dyDescent="0.25">
      <c r="H300" s="399">
        <v>42396</v>
      </c>
      <c r="I300" s="33">
        <v>76.119799999999998</v>
      </c>
      <c r="J300" s="33">
        <v>33.1</v>
      </c>
      <c r="L300" s="399">
        <v>42395</v>
      </c>
      <c r="M300" s="33">
        <v>0.93568312426497857</v>
      </c>
      <c r="N300" s="33">
        <v>0.88867843524335921</v>
      </c>
      <c r="O300" s="33">
        <v>0.92955565806430673</v>
      </c>
      <c r="P300" s="33">
        <v>0.82994523167244028</v>
      </c>
    </row>
    <row r="301" spans="8:16" x14ac:dyDescent="0.25">
      <c r="H301" s="399">
        <v>42395</v>
      </c>
      <c r="I301" s="33">
        <v>75.498999999999995</v>
      </c>
      <c r="J301" s="33">
        <v>31.8</v>
      </c>
      <c r="L301" s="399">
        <v>42394</v>
      </c>
      <c r="M301" s="33">
        <v>0.92153881501870227</v>
      </c>
      <c r="N301" s="33">
        <v>0.87711854446424597</v>
      </c>
      <c r="O301" s="33">
        <v>0.91945007803601464</v>
      </c>
      <c r="P301" s="33">
        <v>0.89464055963643041</v>
      </c>
    </row>
    <row r="302" spans="8:16" x14ac:dyDescent="0.25">
      <c r="H302" s="399">
        <v>42394</v>
      </c>
      <c r="I302" s="33">
        <v>74.495900000000006</v>
      </c>
      <c r="J302" s="33">
        <v>30.5</v>
      </c>
      <c r="L302" s="399">
        <v>42391</v>
      </c>
      <c r="M302" s="33">
        <v>0.93717676142386241</v>
      </c>
      <c r="N302" s="33">
        <v>0.88255415067021459</v>
      </c>
      <c r="O302" s="33">
        <v>0.9207324373353547</v>
      </c>
      <c r="P302" s="33">
        <v>0.88685338758707788</v>
      </c>
    </row>
    <row r="303" spans="8:16" x14ac:dyDescent="0.25">
      <c r="H303" s="399">
        <v>42391</v>
      </c>
      <c r="I303" s="33">
        <v>75.235500000000002</v>
      </c>
      <c r="J303" s="33">
        <v>32.18</v>
      </c>
      <c r="L303" s="399">
        <v>42390</v>
      </c>
      <c r="M303" s="33">
        <v>0.91689307879313664</v>
      </c>
      <c r="N303" s="33">
        <v>0.85855637854563649</v>
      </c>
      <c r="O303" s="33">
        <v>0.90372785041527903</v>
      </c>
      <c r="P303" s="33">
        <v>0.87451207783514295</v>
      </c>
    </row>
    <row r="304" spans="8:16" x14ac:dyDescent="0.25">
      <c r="H304" s="399">
        <v>42390</v>
      </c>
      <c r="I304" s="33">
        <v>73.791499999999999</v>
      </c>
      <c r="J304" s="33">
        <v>29.25</v>
      </c>
      <c r="L304" s="399">
        <v>42389</v>
      </c>
      <c r="M304" s="33">
        <v>0.91169765893759713</v>
      </c>
      <c r="N304" s="33">
        <v>0.84466675402475211</v>
      </c>
      <c r="O304" s="33">
        <v>0.89166649399310316</v>
      </c>
      <c r="P304" s="33">
        <v>0.90630439305493105</v>
      </c>
    </row>
    <row r="305" spans="8:16" x14ac:dyDescent="0.25">
      <c r="H305" s="399">
        <v>42389</v>
      </c>
      <c r="I305" s="33">
        <v>72.875900000000001</v>
      </c>
      <c r="J305" s="33">
        <v>27.88</v>
      </c>
      <c r="L305" s="399">
        <v>42388</v>
      </c>
      <c r="M305" s="33">
        <v>0.92339151381685802</v>
      </c>
      <c r="N305" s="33">
        <v>0.87795618135729847</v>
      </c>
      <c r="O305" s="33">
        <v>0.92031522671151555</v>
      </c>
      <c r="P305" s="33">
        <v>0.91748320099847547</v>
      </c>
    </row>
    <row r="306" spans="8:16" x14ac:dyDescent="0.25">
      <c r="H306" s="399">
        <v>42388</v>
      </c>
      <c r="I306" s="33">
        <v>73.609800000000007</v>
      </c>
      <c r="J306" s="33">
        <v>28.76</v>
      </c>
      <c r="L306" s="399">
        <v>42384</v>
      </c>
      <c r="M306" s="33">
        <v>0.92285969227489462</v>
      </c>
      <c r="N306" s="33">
        <v>0.87058942956944474</v>
      </c>
      <c r="O306" s="33">
        <v>0.90998099394027077</v>
      </c>
      <c r="P306" s="33">
        <v>0.8812460353491669</v>
      </c>
    </row>
    <row r="307" spans="8:16" x14ac:dyDescent="0.25">
      <c r="H307" s="399">
        <v>42384</v>
      </c>
      <c r="I307" s="33">
        <v>73.487700000000004</v>
      </c>
      <c r="J307" s="33">
        <v>28.94</v>
      </c>
      <c r="L307" s="399">
        <v>42383</v>
      </c>
      <c r="M307" s="33">
        <v>0.94445878481121381</v>
      </c>
      <c r="N307" s="33">
        <v>0.88614968192131371</v>
      </c>
      <c r="O307" s="33">
        <v>0.92732120568286636</v>
      </c>
      <c r="P307" s="33">
        <v>0.91423547614076828</v>
      </c>
    </row>
    <row r="308" spans="8:16" x14ac:dyDescent="0.25">
      <c r="H308" s="399">
        <v>42383</v>
      </c>
      <c r="I308" s="33">
        <v>74.559399999999997</v>
      </c>
      <c r="J308" s="33">
        <v>31.03</v>
      </c>
      <c r="L308" s="399">
        <v>42382</v>
      </c>
      <c r="M308" s="33">
        <v>0.92776284558527911</v>
      </c>
      <c r="N308" s="33">
        <v>0.90110376998644703</v>
      </c>
      <c r="O308" s="33">
        <v>0.9430656887928337</v>
      </c>
      <c r="P308" s="33">
        <v>0.896704721804366</v>
      </c>
    </row>
    <row r="309" spans="8:16" x14ac:dyDescent="0.25">
      <c r="H309" s="399">
        <v>42382</v>
      </c>
      <c r="I309" s="33">
        <v>74.63</v>
      </c>
      <c r="J309" s="33">
        <v>30.31</v>
      </c>
      <c r="L309" s="399">
        <v>42381</v>
      </c>
      <c r="M309" s="33">
        <v>0.95272828598802728</v>
      </c>
      <c r="N309" s="33">
        <v>0.89735824146805609</v>
      </c>
      <c r="O309" s="33">
        <v>0.94450386507966222</v>
      </c>
      <c r="P309" s="33">
        <v>0.92211364275882013</v>
      </c>
    </row>
    <row r="310" spans="8:16" x14ac:dyDescent="0.25">
      <c r="H310" s="399">
        <v>42381</v>
      </c>
      <c r="I310" s="33">
        <v>74.433800000000005</v>
      </c>
      <c r="J310" s="33">
        <v>30.86</v>
      </c>
      <c r="L310" s="399">
        <v>42380</v>
      </c>
      <c r="M310" s="33">
        <v>0.94492549236957912</v>
      </c>
      <c r="N310" s="33">
        <v>0.88898809978566895</v>
      </c>
      <c r="O310" s="33">
        <v>0.93210535626219682</v>
      </c>
      <c r="P310" s="33">
        <v>0.91921822665553066</v>
      </c>
    </row>
    <row r="311" spans="8:16" x14ac:dyDescent="0.25">
      <c r="H311" s="399">
        <v>42380</v>
      </c>
      <c r="I311" s="33">
        <v>75.122100000000003</v>
      </c>
      <c r="J311" s="33">
        <v>31.55</v>
      </c>
      <c r="L311" s="399">
        <v>42377</v>
      </c>
      <c r="M311" s="33">
        <v>0.94407222785237588</v>
      </c>
      <c r="N311" s="33">
        <v>0.89160107362416996</v>
      </c>
      <c r="O311" s="33">
        <v>0.93521075820433475</v>
      </c>
      <c r="P311" s="33">
        <v>0.96939647255066297</v>
      </c>
    </row>
    <row r="312" spans="8:16" x14ac:dyDescent="0.25">
      <c r="H312" s="399">
        <v>42377</v>
      </c>
      <c r="I312" s="33">
        <v>76.726500000000001</v>
      </c>
      <c r="J312" s="33">
        <v>33.549999999999997</v>
      </c>
      <c r="L312" s="399">
        <v>42376</v>
      </c>
      <c r="M312" s="33">
        <v>0.95491063471978799</v>
      </c>
      <c r="N312" s="33">
        <v>0.90584853209503846</v>
      </c>
      <c r="O312" s="33">
        <v>0.94592572342197023</v>
      </c>
      <c r="P312" s="33">
        <v>0.94968329041202137</v>
      </c>
    </row>
    <row r="313" spans="8:16" x14ac:dyDescent="0.25">
      <c r="H313" s="399">
        <v>42376</v>
      </c>
      <c r="I313" s="33">
        <v>76.6828</v>
      </c>
      <c r="J313" s="33">
        <v>33.75</v>
      </c>
      <c r="L313" s="399">
        <v>42375</v>
      </c>
      <c r="M313" s="33">
        <v>0.97861105577030405</v>
      </c>
      <c r="N313" s="33">
        <v>0.91347791766915698</v>
      </c>
      <c r="O313" s="33">
        <v>0.95913127729355474</v>
      </c>
      <c r="P313" s="33">
        <v>1.0267419359478542</v>
      </c>
    </row>
    <row r="314" spans="8:16" x14ac:dyDescent="0.25">
      <c r="H314" s="399">
        <v>42375</v>
      </c>
      <c r="I314" s="33">
        <v>76.641400000000004</v>
      </c>
      <c r="J314" s="33">
        <v>34.229999999999997</v>
      </c>
      <c r="L314" s="399">
        <v>42374</v>
      </c>
      <c r="M314" s="33">
        <v>0.99172647643068657</v>
      </c>
      <c r="N314" s="33">
        <v>0.92482486167141031</v>
      </c>
      <c r="O314" s="33">
        <v>0.96762058604447887</v>
      </c>
      <c r="P314" s="33">
        <v>1.0083944939917711</v>
      </c>
    </row>
    <row r="315" spans="8:16" x14ac:dyDescent="0.25">
      <c r="H315" s="399">
        <v>42374</v>
      </c>
      <c r="I315" s="33">
        <v>77.662800000000004</v>
      </c>
      <c r="J315" s="33">
        <v>36.42</v>
      </c>
      <c r="L315" s="399">
        <v>42373</v>
      </c>
      <c r="M315" s="33">
        <v>0.98971421405154647</v>
      </c>
      <c r="N315" s="33">
        <v>0.92732156884312622</v>
      </c>
      <c r="O315" s="33">
        <v>0.97170097675345701</v>
      </c>
      <c r="P315" s="33">
        <v>1.0095807554008362</v>
      </c>
    </row>
    <row r="316" spans="8:16" x14ac:dyDescent="0.25">
      <c r="H316" s="399">
        <v>42373</v>
      </c>
      <c r="I316" s="33">
        <v>77.9054</v>
      </c>
      <c r="J316" s="33">
        <v>37.22</v>
      </c>
      <c r="L316" s="399">
        <v>42369</v>
      </c>
      <c r="M316" s="33">
        <v>1.0050179900919392</v>
      </c>
      <c r="N316" s="33">
        <v>0.9630490228707389</v>
      </c>
      <c r="O316" s="33">
        <v>1.0226383155278813</v>
      </c>
      <c r="P316" s="33">
        <v>1.0844648987938821</v>
      </c>
    </row>
    <row r="317" spans="8:16" x14ac:dyDescent="0.25">
      <c r="H317" s="399">
        <v>42369</v>
      </c>
      <c r="I317" s="33">
        <v>78.558800000000005</v>
      </c>
      <c r="J317" s="33">
        <v>37.28</v>
      </c>
      <c r="L317" s="399">
        <v>42368</v>
      </c>
      <c r="M317" s="33">
        <v>1.0144298232184901</v>
      </c>
      <c r="N317" s="33">
        <v>0.97337029272267017</v>
      </c>
      <c r="O317" s="33">
        <v>1.0226383155278813</v>
      </c>
      <c r="P317" s="33">
        <v>1.0932084703010787</v>
      </c>
    </row>
    <row r="318" spans="8:16" x14ac:dyDescent="0.25">
      <c r="H318" s="399">
        <v>42368</v>
      </c>
      <c r="I318" s="33">
        <v>78.088099999999997</v>
      </c>
      <c r="J318" s="33">
        <v>36.46</v>
      </c>
      <c r="L318" s="399">
        <v>42367</v>
      </c>
      <c r="M318" s="33">
        <v>1.0216470521874847</v>
      </c>
      <c r="N318" s="33">
        <v>0.98321138790942153</v>
      </c>
      <c r="O318" s="33">
        <v>1.0353238643166875</v>
      </c>
      <c r="P318" s="33">
        <v>1.092234215253526</v>
      </c>
    </row>
    <row r="319" spans="8:16" x14ac:dyDescent="0.25">
      <c r="H319" s="399">
        <v>42367</v>
      </c>
      <c r="I319" s="33">
        <v>79.041799999999995</v>
      </c>
      <c r="J319" s="33">
        <v>37.79</v>
      </c>
      <c r="L319" s="399">
        <v>42366</v>
      </c>
      <c r="M319" s="33">
        <v>1.0110173415140102</v>
      </c>
      <c r="N319" s="33">
        <v>0.96945279786486593</v>
      </c>
      <c r="O319" s="33">
        <v>1.0199605370947635</v>
      </c>
      <c r="P319" s="33">
        <v>1.0827922978845455</v>
      </c>
    </row>
    <row r="320" spans="8:16" x14ac:dyDescent="0.25">
      <c r="H320" s="399">
        <v>42366</v>
      </c>
      <c r="I320" s="33">
        <v>77.879000000000005</v>
      </c>
      <c r="J320" s="33">
        <v>36.619999999999997</v>
      </c>
      <c r="L320" s="399">
        <v>42362</v>
      </c>
      <c r="M320" s="33">
        <v>1.0131959061843872</v>
      </c>
      <c r="N320" s="33">
        <v>0.97588948810035725</v>
      </c>
      <c r="O320" s="33">
        <v>1.0183459041738327</v>
      </c>
      <c r="P320" s="33">
        <v>1.1061928818946152</v>
      </c>
    </row>
    <row r="321" spans="8:16" x14ac:dyDescent="0.25">
      <c r="H321" s="399">
        <v>42362</v>
      </c>
      <c r="I321" s="33">
        <v>78.485100000000003</v>
      </c>
      <c r="J321" s="33">
        <v>37.89</v>
      </c>
      <c r="L321" s="399">
        <v>42361</v>
      </c>
      <c r="M321" s="33">
        <v>1.0147945187824234</v>
      </c>
      <c r="N321" s="33">
        <v>0.9701335716206041</v>
      </c>
      <c r="O321" s="33">
        <v>1.0183459041738327</v>
      </c>
      <c r="P321" s="33">
        <v>1.1128992842285674</v>
      </c>
    </row>
    <row r="322" spans="8:16" x14ac:dyDescent="0.25">
      <c r="H322" s="399">
        <v>42361</v>
      </c>
      <c r="I322" s="33">
        <v>78.105500000000006</v>
      </c>
      <c r="J322" s="33">
        <v>37.36</v>
      </c>
      <c r="L322" s="399">
        <v>42360</v>
      </c>
      <c r="M322" s="33">
        <v>1.0023764841865246</v>
      </c>
      <c r="N322" s="33">
        <v>0.95591677384473428</v>
      </c>
      <c r="O322" s="33">
        <v>1.0038671656734142</v>
      </c>
      <c r="P322" s="33">
        <v>1.1166235664739297</v>
      </c>
    </row>
    <row r="323" spans="8:16" x14ac:dyDescent="0.25">
      <c r="H323" s="399">
        <v>42360</v>
      </c>
      <c r="I323" s="33">
        <v>77.168999999999997</v>
      </c>
      <c r="J323" s="33">
        <v>36.11</v>
      </c>
      <c r="L323" s="399">
        <v>42359</v>
      </c>
      <c r="M323" s="33">
        <v>0.99355972145243765</v>
      </c>
      <c r="N323" s="33">
        <v>0.95009994053918723</v>
      </c>
      <c r="O323" s="33">
        <v>0.99932410540695749</v>
      </c>
      <c r="P323" s="33">
        <v>1.1132670382966072</v>
      </c>
    </row>
    <row r="324" spans="8:16" x14ac:dyDescent="0.25">
      <c r="H324" s="399">
        <v>42359</v>
      </c>
      <c r="I324" s="33">
        <v>77.698499999999996</v>
      </c>
      <c r="J324" s="33">
        <v>36.35</v>
      </c>
      <c r="L324" s="399">
        <v>42356</v>
      </c>
      <c r="M324" s="33">
        <v>0.98578130655378127</v>
      </c>
      <c r="N324" s="33">
        <v>0.95791219435640507</v>
      </c>
      <c r="O324" s="33">
        <v>1.0028844323307071</v>
      </c>
      <c r="P324" s="33">
        <v>1.096024516807927</v>
      </c>
    </row>
    <row r="325" spans="8:16" x14ac:dyDescent="0.25">
      <c r="H325" s="399">
        <v>42356</v>
      </c>
      <c r="I325" s="33">
        <v>77.452299999999994</v>
      </c>
      <c r="J325" s="33">
        <v>36.880000000000003</v>
      </c>
      <c r="L325" s="399">
        <v>42355</v>
      </c>
      <c r="M325" s="33">
        <v>1.0035785434274622</v>
      </c>
      <c r="N325" s="33">
        <v>0.97010798380126384</v>
      </c>
      <c r="O325" s="33">
        <v>1.0133406772699738</v>
      </c>
      <c r="P325" s="33">
        <v>1.0960977301369539</v>
      </c>
    </row>
    <row r="326" spans="8:16" x14ac:dyDescent="0.25">
      <c r="H326" s="399">
        <v>42355</v>
      </c>
      <c r="I326" s="33">
        <v>76.604500000000002</v>
      </c>
      <c r="J326" s="33">
        <v>37.06</v>
      </c>
      <c r="L326" s="399">
        <v>42354</v>
      </c>
      <c r="M326" s="33">
        <v>1.0186190389244789</v>
      </c>
      <c r="N326" s="33">
        <v>0.96169682858319017</v>
      </c>
      <c r="O326" s="33">
        <v>0.99770439663595356</v>
      </c>
      <c r="P326" s="33">
        <v>1.0795514337801486</v>
      </c>
    </row>
    <row r="327" spans="8:16" x14ac:dyDescent="0.25">
      <c r="H327" s="399">
        <v>42354</v>
      </c>
      <c r="I327" s="33">
        <v>77.080699999999993</v>
      </c>
      <c r="J327" s="33">
        <v>37.19</v>
      </c>
      <c r="L327" s="399">
        <v>42353</v>
      </c>
      <c r="M327" s="33">
        <v>1.0041040859781782</v>
      </c>
      <c r="N327" s="33">
        <v>0.95988765495658823</v>
      </c>
      <c r="O327" s="33">
        <v>0.99571436072232533</v>
      </c>
      <c r="P327" s="33">
        <v>1.0800872513139206</v>
      </c>
    </row>
    <row r="328" spans="8:16" x14ac:dyDescent="0.25">
      <c r="H328" s="399">
        <v>42353</v>
      </c>
      <c r="I328" s="33">
        <v>77.578100000000006</v>
      </c>
      <c r="J328" s="33">
        <v>38.450000000000003</v>
      </c>
      <c r="L328" s="399">
        <v>42352</v>
      </c>
      <c r="M328" s="33">
        <v>0.99348557108653979</v>
      </c>
      <c r="N328" s="33">
        <v>0.93584030457469103</v>
      </c>
      <c r="O328" s="33">
        <v>0.9735526988792742</v>
      </c>
      <c r="P328" s="33">
        <v>1.0829398079458024</v>
      </c>
    </row>
    <row r="329" spans="8:16" x14ac:dyDescent="0.25">
      <c r="H329" s="399">
        <v>42352</v>
      </c>
      <c r="I329" s="33">
        <v>77.960899999999995</v>
      </c>
      <c r="J329" s="33">
        <v>37.92</v>
      </c>
      <c r="L329" s="399">
        <v>42349</v>
      </c>
      <c r="M329" s="33">
        <v>0.98872998439025617</v>
      </c>
      <c r="N329" s="33">
        <v>0.95393890082914234</v>
      </c>
      <c r="O329" s="33">
        <v>0.99109149895837323</v>
      </c>
      <c r="P329" s="33">
        <v>1.0576212342889995</v>
      </c>
    </row>
    <row r="330" spans="8:16" x14ac:dyDescent="0.25">
      <c r="H330" s="399">
        <v>42349</v>
      </c>
      <c r="I330" s="33">
        <v>78.422399999999996</v>
      </c>
      <c r="J330" s="33">
        <v>37.93</v>
      </c>
      <c r="L330" s="399">
        <v>42348</v>
      </c>
      <c r="M330" s="33">
        <v>1.0081527586407057</v>
      </c>
      <c r="N330" s="33">
        <v>0.97014923559297195</v>
      </c>
      <c r="O330" s="33">
        <v>1.0113271239055615</v>
      </c>
      <c r="P330" s="33">
        <v>1.0676427580782306</v>
      </c>
    </row>
    <row r="331" spans="8:16" x14ac:dyDescent="0.25">
      <c r="H331" s="399">
        <v>42348</v>
      </c>
      <c r="I331" s="33">
        <v>79.154399999999995</v>
      </c>
      <c r="J331" s="33">
        <v>39.729999999999997</v>
      </c>
      <c r="L331" s="399">
        <v>42347</v>
      </c>
      <c r="M331" s="33">
        <v>1.0059013643390289</v>
      </c>
      <c r="N331" s="33">
        <v>0.97743670532339366</v>
      </c>
      <c r="O331" s="33">
        <v>1.0158118122135091</v>
      </c>
      <c r="P331" s="33">
        <v>1.0738678467909542</v>
      </c>
    </row>
    <row r="332" spans="8:16" x14ac:dyDescent="0.25">
      <c r="H332" s="399">
        <v>42347</v>
      </c>
      <c r="I332" s="33">
        <v>79.246600000000001</v>
      </c>
      <c r="J332" s="33">
        <v>40.11</v>
      </c>
      <c r="L332" s="399">
        <v>42346</v>
      </c>
      <c r="M332" s="33">
        <v>1.0136403047293197</v>
      </c>
      <c r="N332" s="33">
        <v>0.97317280728272548</v>
      </c>
      <c r="O332" s="33">
        <v>1.0130211528433595</v>
      </c>
      <c r="P332" s="33">
        <v>1.0752093405282537</v>
      </c>
    </row>
    <row r="333" spans="8:16" x14ac:dyDescent="0.25">
      <c r="H333" s="399">
        <v>42346</v>
      </c>
      <c r="I333" s="33">
        <v>79.168999999999997</v>
      </c>
      <c r="J333" s="33">
        <v>40.26</v>
      </c>
      <c r="L333" s="399">
        <v>42345</v>
      </c>
      <c r="M333" s="33">
        <v>1.0201302159985595</v>
      </c>
      <c r="N333" s="33">
        <v>0.98841065247850746</v>
      </c>
      <c r="O333" s="33">
        <v>1.0291069554165229</v>
      </c>
      <c r="P333" s="33">
        <v>1.0952288100692886</v>
      </c>
    </row>
    <row r="334" spans="8:16" x14ac:dyDescent="0.25">
      <c r="H334" s="399">
        <v>42345</v>
      </c>
      <c r="I334" s="33">
        <v>79.506399999999999</v>
      </c>
      <c r="J334" s="33">
        <v>40.729999999999997</v>
      </c>
      <c r="L334" s="399">
        <v>42342</v>
      </c>
      <c r="M334" s="33">
        <v>1.0271197794615965</v>
      </c>
      <c r="N334" s="33">
        <v>0.98123654439013519</v>
      </c>
      <c r="O334" s="33">
        <v>1.0183219057436368</v>
      </c>
      <c r="P334" s="33">
        <v>1.0932526389568022</v>
      </c>
    </row>
    <row r="335" spans="8:16" x14ac:dyDescent="0.25">
      <c r="H335" s="399">
        <v>42342</v>
      </c>
      <c r="I335" s="33">
        <v>81.701599999999999</v>
      </c>
      <c r="J335" s="33">
        <v>43</v>
      </c>
      <c r="L335" s="399">
        <v>42341</v>
      </c>
      <c r="M335" s="33">
        <v>1.0065940234678021</v>
      </c>
      <c r="N335" s="33">
        <v>0.98801783236158691</v>
      </c>
      <c r="O335" s="33">
        <v>1.0247808289370313</v>
      </c>
      <c r="P335" s="33">
        <v>1.1117568333154266</v>
      </c>
    </row>
    <row r="336" spans="8:16" x14ac:dyDescent="0.25">
      <c r="H336" s="399">
        <v>42341</v>
      </c>
      <c r="I336" s="33">
        <v>81.297799999999995</v>
      </c>
      <c r="J336" s="33">
        <v>43.84</v>
      </c>
      <c r="L336" s="399">
        <v>42340</v>
      </c>
      <c r="M336" s="33">
        <v>1.0209676018588656</v>
      </c>
      <c r="N336" s="33">
        <v>0.99528096847075886</v>
      </c>
      <c r="O336" s="33">
        <v>1.0317211833970852</v>
      </c>
      <c r="P336" s="33">
        <v>1.0958275347852999</v>
      </c>
    </row>
    <row r="337" spans="8:16" x14ac:dyDescent="0.25">
      <c r="H337" s="399">
        <v>42340</v>
      </c>
      <c r="I337" s="33">
        <v>80.370800000000003</v>
      </c>
      <c r="J337" s="33">
        <v>42.49</v>
      </c>
      <c r="L337" s="399">
        <v>42339</v>
      </c>
      <c r="M337" s="33">
        <v>1.031963354796853</v>
      </c>
      <c r="N337" s="33">
        <v>1.0013473671412614</v>
      </c>
      <c r="O337" s="33">
        <v>1.0409472462628195</v>
      </c>
      <c r="P337" s="33">
        <v>1.0725408791580433</v>
      </c>
    </row>
    <row r="338" spans="8:16" x14ac:dyDescent="0.25">
      <c r="H338" s="399">
        <v>42339</v>
      </c>
      <c r="I338" s="33">
        <v>81.753299999999996</v>
      </c>
      <c r="J338" s="33">
        <v>44.44</v>
      </c>
      <c r="L338" s="399">
        <v>42338</v>
      </c>
      <c r="M338" s="33">
        <v>1.021282767797175</v>
      </c>
      <c r="N338" s="33">
        <v>1.0037308103260427</v>
      </c>
      <c r="O338" s="33">
        <v>1.0463303338486263</v>
      </c>
      <c r="P338" s="33">
        <v>1.0697523303878516</v>
      </c>
    </row>
    <row r="339" spans="8:16" x14ac:dyDescent="0.25">
      <c r="H339" s="399">
        <v>42338</v>
      </c>
      <c r="I339" s="33">
        <v>81.078100000000006</v>
      </c>
      <c r="J339" s="33">
        <v>44.61</v>
      </c>
      <c r="L339" s="399">
        <v>42335</v>
      </c>
      <c r="M339" s="33">
        <v>1.0259236718644251</v>
      </c>
      <c r="N339" s="33">
        <v>1.0025189766770124</v>
      </c>
      <c r="O339" s="33">
        <v>1.0422998871969362</v>
      </c>
      <c r="P339" s="33">
        <v>1.067213328757656</v>
      </c>
    </row>
    <row r="340" spans="8:16" x14ac:dyDescent="0.25">
      <c r="H340" s="399">
        <v>42335</v>
      </c>
      <c r="I340" s="33">
        <v>81.096199999999996</v>
      </c>
      <c r="J340" s="33">
        <v>44.86</v>
      </c>
      <c r="L340" s="399">
        <v>42333</v>
      </c>
      <c r="M340" s="33">
        <v>1.0253300494752864</v>
      </c>
      <c r="N340" s="33">
        <v>0.99692234554442516</v>
      </c>
      <c r="O340" s="33">
        <v>1.0333677864045816</v>
      </c>
      <c r="P340" s="33">
        <v>1.1263306767599959</v>
      </c>
    </row>
    <row r="341" spans="8:16" x14ac:dyDescent="0.25">
      <c r="H341" s="399">
        <v>42333</v>
      </c>
      <c r="I341" s="33">
        <v>82.2684</v>
      </c>
      <c r="J341" s="33">
        <v>46.17</v>
      </c>
      <c r="L341" s="399">
        <v>42332</v>
      </c>
      <c r="M341" s="33">
        <v>1.0254592892581638</v>
      </c>
      <c r="N341" s="33">
        <v>0.98382522582057685</v>
      </c>
      <c r="O341" s="33">
        <v>1.0141276085273034</v>
      </c>
      <c r="P341" s="33">
        <v>1.1174213731061169</v>
      </c>
    </row>
    <row r="342" spans="8:16" x14ac:dyDescent="0.25">
      <c r="H342" s="399">
        <v>42332</v>
      </c>
      <c r="I342" s="33">
        <v>82.144599999999997</v>
      </c>
      <c r="J342" s="33">
        <v>46.12</v>
      </c>
      <c r="L342" s="399">
        <v>42331</v>
      </c>
      <c r="M342" s="33">
        <v>1.0242371996286725</v>
      </c>
      <c r="N342" s="33">
        <v>0.9916595955355465</v>
      </c>
      <c r="O342" s="33">
        <v>1.0258944145136732</v>
      </c>
      <c r="P342" s="33">
        <v>1.1162229298509985</v>
      </c>
    </row>
    <row r="343" spans="8:16" x14ac:dyDescent="0.25">
      <c r="H343" s="399">
        <v>42331</v>
      </c>
      <c r="I343" s="33">
        <v>81.499899999999997</v>
      </c>
      <c r="J343" s="33">
        <v>44.83</v>
      </c>
      <c r="L343" s="399">
        <v>42328</v>
      </c>
      <c r="M343" s="33">
        <v>1.025472139820232</v>
      </c>
      <c r="N343" s="33">
        <v>0.99655319331051695</v>
      </c>
      <c r="O343" s="33">
        <v>1.0311792480324629</v>
      </c>
      <c r="P343" s="33">
        <v>1.1224366820620295</v>
      </c>
    </row>
    <row r="344" spans="8:16" x14ac:dyDescent="0.25">
      <c r="H344" s="399">
        <v>42328</v>
      </c>
      <c r="I344" s="33">
        <v>81.423400000000001</v>
      </c>
      <c r="J344" s="33">
        <v>44.66</v>
      </c>
      <c r="L344" s="399">
        <v>42327</v>
      </c>
      <c r="M344" s="33">
        <v>1.0216619113026173</v>
      </c>
      <c r="N344" s="33">
        <v>1.0026253974989254</v>
      </c>
      <c r="O344" s="33">
        <v>1.035184579832483</v>
      </c>
      <c r="P344" s="33">
        <v>1.1190832469939842</v>
      </c>
    </row>
    <row r="345" spans="8:16" x14ac:dyDescent="0.25">
      <c r="H345" s="399">
        <v>42327</v>
      </c>
      <c r="I345" s="33">
        <v>81.741200000000006</v>
      </c>
      <c r="J345" s="33">
        <v>44.18</v>
      </c>
      <c r="L345" s="399">
        <v>42326</v>
      </c>
      <c r="M345" s="33">
        <v>1.0227849783314813</v>
      </c>
      <c r="N345" s="33">
        <v>0.98954621945493848</v>
      </c>
      <c r="O345" s="33">
        <v>1.0155594366309284</v>
      </c>
      <c r="P345" s="33">
        <v>1.1050048822435925</v>
      </c>
    </row>
    <row r="346" spans="8:16" x14ac:dyDescent="0.25">
      <c r="H346" s="399">
        <v>42326</v>
      </c>
      <c r="I346" s="33">
        <v>81.5672</v>
      </c>
      <c r="J346" s="33">
        <v>44.14</v>
      </c>
      <c r="L346" s="399">
        <v>42325</v>
      </c>
      <c r="M346" s="33">
        <v>1.0066225936725788</v>
      </c>
      <c r="N346" s="33">
        <v>0.99599951200176084</v>
      </c>
      <c r="O346" s="33">
        <v>1.0172270629396012</v>
      </c>
      <c r="P346" s="33">
        <v>1.1161059478441335</v>
      </c>
    </row>
    <row r="347" spans="8:16" x14ac:dyDescent="0.25">
      <c r="H347" s="399">
        <v>42325</v>
      </c>
      <c r="I347" s="33">
        <v>81.742199999999997</v>
      </c>
      <c r="J347" s="33">
        <v>43.57</v>
      </c>
      <c r="L347" s="399">
        <v>42324</v>
      </c>
      <c r="M347" s="33">
        <v>1.0079619728824909</v>
      </c>
      <c r="N347" s="33">
        <v>0.97383007907916852</v>
      </c>
      <c r="O347" s="33">
        <v>0.99766321739069186</v>
      </c>
      <c r="P347" s="33">
        <v>1.1175517066116969</v>
      </c>
    </row>
    <row r="348" spans="8:16" x14ac:dyDescent="0.25">
      <c r="H348" s="399">
        <v>42324</v>
      </c>
      <c r="I348" s="33">
        <v>82.460099999999997</v>
      </c>
      <c r="J348" s="33">
        <v>44.56</v>
      </c>
      <c r="L348" s="399">
        <v>42321</v>
      </c>
      <c r="M348" s="33">
        <v>0.99305865905775192</v>
      </c>
      <c r="N348" s="33">
        <v>0.97634471781595034</v>
      </c>
      <c r="O348" s="33">
        <v>1.0001969132003321</v>
      </c>
      <c r="P348" s="33">
        <v>1.1098782331639567</v>
      </c>
    </row>
    <row r="349" spans="8:16" x14ac:dyDescent="0.25">
      <c r="H349" s="399">
        <v>42321</v>
      </c>
      <c r="I349" s="33">
        <v>82.433199999999999</v>
      </c>
      <c r="J349" s="33">
        <v>43.61</v>
      </c>
      <c r="L349" s="399">
        <v>42320</v>
      </c>
      <c r="M349" s="33">
        <v>1.0042660570156889</v>
      </c>
      <c r="N349" s="33">
        <v>0.98920720743824431</v>
      </c>
      <c r="O349" s="33">
        <v>1.0119642052213687</v>
      </c>
      <c r="P349" s="33">
        <v>1.1241783341904803</v>
      </c>
    </row>
    <row r="350" spans="8:16" x14ac:dyDescent="0.25">
      <c r="H350" s="399">
        <v>42320</v>
      </c>
      <c r="I350" s="33">
        <v>82.869100000000003</v>
      </c>
      <c r="J350" s="33">
        <v>44.06</v>
      </c>
      <c r="L350" s="399">
        <v>42319</v>
      </c>
      <c r="M350" s="33">
        <v>1.0182564184614722</v>
      </c>
      <c r="N350" s="33">
        <v>1.0022370531649325</v>
      </c>
      <c r="O350" s="33">
        <v>1.0188390860030205</v>
      </c>
      <c r="P350" s="33">
        <v>1.1296177003292347</v>
      </c>
    </row>
    <row r="351" spans="8:16" x14ac:dyDescent="0.25">
      <c r="H351" s="399">
        <v>42319</v>
      </c>
      <c r="I351" s="33">
        <v>83.617999999999995</v>
      </c>
      <c r="J351" s="33">
        <v>45.81</v>
      </c>
      <c r="L351" s="399">
        <v>42318</v>
      </c>
      <c r="M351" s="33">
        <v>1.0214845183019885</v>
      </c>
      <c r="N351" s="33">
        <v>0.99325965689355211</v>
      </c>
      <c r="O351" s="33">
        <v>1.0096255869288537</v>
      </c>
      <c r="P351" s="33">
        <v>1.1286199630816043</v>
      </c>
    </row>
    <row r="352" spans="8:16" x14ac:dyDescent="0.25">
      <c r="H352" s="399">
        <v>42318</v>
      </c>
      <c r="I352" s="33">
        <v>84.044600000000003</v>
      </c>
      <c r="J352" s="33">
        <v>47.44</v>
      </c>
      <c r="L352" s="399">
        <v>42317</v>
      </c>
      <c r="M352" s="33">
        <v>1.0199738716104974</v>
      </c>
      <c r="N352" s="33">
        <v>0.99604426610876562</v>
      </c>
      <c r="O352" s="33">
        <v>1.0128890417419956</v>
      </c>
      <c r="P352" s="33">
        <v>1.1300126136502491</v>
      </c>
    </row>
    <row r="353" spans="8:16" x14ac:dyDescent="0.25">
      <c r="H353" s="399">
        <v>42317</v>
      </c>
      <c r="I353" s="33">
        <v>84.236900000000006</v>
      </c>
      <c r="J353" s="33">
        <v>47.19</v>
      </c>
      <c r="L353" s="399">
        <v>42314</v>
      </c>
      <c r="M353" s="33">
        <v>1.0297966612446436</v>
      </c>
      <c r="N353" s="33">
        <v>1.0085816892685244</v>
      </c>
      <c r="O353" s="33">
        <v>1.0267617682437038</v>
      </c>
      <c r="P353" s="33">
        <v>1.1157423826632864</v>
      </c>
    </row>
    <row r="354" spans="8:16" x14ac:dyDescent="0.25">
      <c r="H354" s="399">
        <v>42314</v>
      </c>
      <c r="I354" s="33">
        <v>85.2346</v>
      </c>
      <c r="J354" s="33">
        <v>47.42</v>
      </c>
      <c r="L354" s="399">
        <v>42313</v>
      </c>
      <c r="M354" s="33">
        <v>1.0301442918799504</v>
      </c>
      <c r="N354" s="33">
        <v>1.014423278942707</v>
      </c>
      <c r="O354" s="33">
        <v>1.0294399524693461</v>
      </c>
      <c r="P354" s="33">
        <v>1.0974811411759466</v>
      </c>
    </row>
    <row r="355" spans="8:16" x14ac:dyDescent="0.25">
      <c r="H355" s="399">
        <v>42313</v>
      </c>
      <c r="I355" s="33">
        <v>85.825999999999993</v>
      </c>
      <c r="J355" s="33">
        <v>47.98</v>
      </c>
      <c r="L355" s="399">
        <v>42312</v>
      </c>
      <c r="M355" s="33">
        <v>1.0312763799164437</v>
      </c>
      <c r="N355" s="33">
        <v>1.0111701114496605</v>
      </c>
      <c r="O355" s="33">
        <v>1.0246888997575518</v>
      </c>
      <c r="P355" s="33">
        <v>1.0809200971082857</v>
      </c>
    </row>
    <row r="356" spans="8:16" x14ac:dyDescent="0.25">
      <c r="H356" s="399">
        <v>42312</v>
      </c>
      <c r="I356" s="33">
        <v>86.514799999999994</v>
      </c>
      <c r="J356" s="33">
        <v>48.58</v>
      </c>
      <c r="L356" s="399">
        <v>42311</v>
      </c>
      <c r="M356" s="33">
        <v>1.0348217564705084</v>
      </c>
      <c r="N356" s="33">
        <v>1.0215816352633813</v>
      </c>
      <c r="O356" s="33">
        <v>1.0436678156162871</v>
      </c>
      <c r="P356" s="33">
        <v>1.0379369155228613</v>
      </c>
    </row>
    <row r="357" spans="8:16" x14ac:dyDescent="0.25">
      <c r="H357" s="399">
        <v>42311</v>
      </c>
      <c r="I357" s="33">
        <v>87.692999999999998</v>
      </c>
      <c r="J357" s="33">
        <v>50.54</v>
      </c>
      <c r="L357" s="399">
        <v>42310</v>
      </c>
      <c r="M357" s="33">
        <v>1.0320936844189887</v>
      </c>
      <c r="N357" s="33">
        <v>1.0248389617752198</v>
      </c>
      <c r="O357" s="33">
        <v>1.0492498106951209</v>
      </c>
      <c r="P357" s="33">
        <v>1.0397671642177264</v>
      </c>
    </row>
    <row r="358" spans="8:16" x14ac:dyDescent="0.25">
      <c r="H358" s="399">
        <v>42310</v>
      </c>
      <c r="I358" s="33">
        <v>86.868399999999994</v>
      </c>
      <c r="J358" s="33">
        <v>48.79</v>
      </c>
      <c r="L358" s="399">
        <v>42307</v>
      </c>
      <c r="M358" s="33">
        <v>1.0202198386202812</v>
      </c>
      <c r="N358" s="33">
        <v>1.0198056043176074</v>
      </c>
      <c r="O358" s="33">
        <v>1.0397096621361444</v>
      </c>
      <c r="P358" s="33">
        <v>1.0602479869743848</v>
      </c>
    </row>
    <row r="359" spans="8:16" x14ac:dyDescent="0.25">
      <c r="H359" s="399">
        <v>42307</v>
      </c>
      <c r="I359" s="33">
        <v>87.428899999999999</v>
      </c>
      <c r="J359" s="33">
        <v>49.56</v>
      </c>
      <c r="L359" s="399">
        <v>42306</v>
      </c>
      <c r="M359" s="33">
        <v>1.0250298088989722</v>
      </c>
      <c r="N359" s="33">
        <v>1.0137307266781841</v>
      </c>
      <c r="O359" s="33">
        <v>1.0304736803602927</v>
      </c>
      <c r="P359" s="33">
        <v>1.0561820883945408</v>
      </c>
    </row>
    <row r="360" spans="8:16" x14ac:dyDescent="0.25">
      <c r="H360" s="399">
        <v>42306</v>
      </c>
      <c r="I360" s="33">
        <v>86.867199999999997</v>
      </c>
      <c r="J360" s="33">
        <v>48.8</v>
      </c>
      <c r="L360" s="399">
        <v>42305</v>
      </c>
      <c r="M360" s="33">
        <v>1.0254794943583452</v>
      </c>
      <c r="N360" s="33">
        <v>1.0248183472334458</v>
      </c>
      <c r="O360" s="33">
        <v>1.0421779809264815</v>
      </c>
      <c r="P360" s="33">
        <v>1.0517381834697486</v>
      </c>
    </row>
    <row r="361" spans="8:16" x14ac:dyDescent="0.25">
      <c r="H361" s="399">
        <v>42305</v>
      </c>
      <c r="I361" s="33">
        <v>87.641999999999996</v>
      </c>
      <c r="J361" s="33">
        <v>49.05</v>
      </c>
      <c r="L361" s="399">
        <v>42304</v>
      </c>
      <c r="M361" s="33">
        <v>1.0136395609640214</v>
      </c>
      <c r="N361" s="33">
        <v>1.0104887867668291</v>
      </c>
      <c r="O361" s="33">
        <v>1.0266277961185977</v>
      </c>
      <c r="P361" s="33">
        <v>1.0693602967948221</v>
      </c>
    </row>
    <row r="362" spans="8:16" x14ac:dyDescent="0.25">
      <c r="H362" s="399">
        <v>42304</v>
      </c>
      <c r="I362" s="33">
        <v>86.623400000000004</v>
      </c>
      <c r="J362" s="33">
        <v>46.81</v>
      </c>
      <c r="L362" s="399">
        <v>42303</v>
      </c>
      <c r="M362" s="33">
        <v>1.0161936605594213</v>
      </c>
      <c r="N362" s="33">
        <v>1.0217591833316497</v>
      </c>
      <c r="O362" s="33">
        <v>1.0381657823302373</v>
      </c>
      <c r="P362" s="33">
        <v>1.0680683503365751</v>
      </c>
    </row>
    <row r="363" spans="8:16" x14ac:dyDescent="0.25">
      <c r="H363" s="399">
        <v>42303</v>
      </c>
      <c r="I363" s="33">
        <v>86.961399999999998</v>
      </c>
      <c r="J363" s="33">
        <v>47.54</v>
      </c>
      <c r="L363" s="399">
        <v>42300</v>
      </c>
      <c r="M363" s="33">
        <v>1.0181067752740205</v>
      </c>
      <c r="N363" s="33">
        <v>1.0215931496293331</v>
      </c>
      <c r="O363" s="33">
        <v>1.0340841519288717</v>
      </c>
      <c r="P363" s="33">
        <v>1.0643088605347435</v>
      </c>
    </row>
    <row r="364" spans="8:16" x14ac:dyDescent="0.25">
      <c r="H364" s="399">
        <v>42300</v>
      </c>
      <c r="I364" s="33">
        <v>87.446399999999997</v>
      </c>
      <c r="J364" s="33">
        <v>47.99</v>
      </c>
      <c r="L364" s="399">
        <v>42299</v>
      </c>
      <c r="M364" s="33">
        <v>1.0070763783453822</v>
      </c>
      <c r="N364" s="33">
        <v>1.0110120477971587</v>
      </c>
      <c r="O364" s="33">
        <v>1.0164238799514149</v>
      </c>
      <c r="P364" s="33">
        <v>1.0488958725135338</v>
      </c>
    </row>
    <row r="365" spans="8:16" x14ac:dyDescent="0.25">
      <c r="H365" s="399">
        <v>42299</v>
      </c>
      <c r="I365" s="33">
        <v>88.174800000000005</v>
      </c>
      <c r="J365" s="33">
        <v>48.08</v>
      </c>
      <c r="L365" s="399">
        <v>42298</v>
      </c>
      <c r="M365" s="33">
        <v>0.99044884112287956</v>
      </c>
      <c r="N365" s="33">
        <v>1.0051708129177439</v>
      </c>
      <c r="O365" s="33">
        <v>1.01050463193</v>
      </c>
      <c r="P365" s="33">
        <v>1.0362720845549127</v>
      </c>
    </row>
    <row r="366" spans="8:16" x14ac:dyDescent="0.25">
      <c r="H366" s="399">
        <v>42298</v>
      </c>
      <c r="I366" s="33">
        <v>88.184299999999993</v>
      </c>
      <c r="J366" s="33">
        <v>47.85</v>
      </c>
      <c r="L366" s="399">
        <v>42297</v>
      </c>
      <c r="M366" s="33">
        <v>0.99627421770417612</v>
      </c>
      <c r="N366" s="33">
        <v>1.0006309551370549</v>
      </c>
      <c r="O366" s="33">
        <v>1.0021274786591841</v>
      </c>
      <c r="P366" s="33">
        <v>1.0668861424179088</v>
      </c>
    </row>
    <row r="367" spans="8:16" x14ac:dyDescent="0.25">
      <c r="H367" s="399">
        <v>42297</v>
      </c>
      <c r="I367" s="33">
        <v>88.828999999999994</v>
      </c>
      <c r="J367" s="33">
        <v>48.71</v>
      </c>
      <c r="L367" s="399">
        <v>42296</v>
      </c>
      <c r="M367" s="33">
        <v>0.99769530087442093</v>
      </c>
      <c r="N367" s="33">
        <v>1.0029821971685475</v>
      </c>
      <c r="O367" s="33">
        <v>1.001118211331244</v>
      </c>
      <c r="P367" s="33">
        <v>1.0536796955378462</v>
      </c>
    </row>
    <row r="368" spans="8:16" x14ac:dyDescent="0.25">
      <c r="H368" s="399">
        <v>42296</v>
      </c>
      <c r="I368" s="33">
        <v>88.519199999999998</v>
      </c>
      <c r="J368" s="33">
        <v>48.61</v>
      </c>
      <c r="L368" s="399">
        <v>42293</v>
      </c>
      <c r="M368" s="33">
        <v>0.99742477935812324</v>
      </c>
      <c r="N368" s="33">
        <v>1.0059998459720911</v>
      </c>
      <c r="O368" s="33">
        <v>1.0004069090983596</v>
      </c>
      <c r="P368" s="33">
        <v>1.0562444416986745</v>
      </c>
    </row>
    <row r="369" spans="8:16" x14ac:dyDescent="0.25">
      <c r="H369" s="399">
        <v>42293</v>
      </c>
      <c r="I369" s="33">
        <v>89.783500000000004</v>
      </c>
      <c r="J369" s="33">
        <v>50.46</v>
      </c>
      <c r="L369" s="399">
        <v>42292</v>
      </c>
      <c r="M369" s="33">
        <v>0.99285430511583384</v>
      </c>
      <c r="N369" s="33">
        <v>0.99970357354255768</v>
      </c>
      <c r="O369" s="33">
        <v>0.99823057489819167</v>
      </c>
      <c r="P369" s="33">
        <v>1.0422985449076445</v>
      </c>
    </row>
    <row r="370" spans="8:16" x14ac:dyDescent="0.25">
      <c r="H370" s="399">
        <v>42292</v>
      </c>
      <c r="I370" s="33">
        <v>89.838999999999999</v>
      </c>
      <c r="J370" s="33">
        <v>48.71</v>
      </c>
      <c r="L370" s="399">
        <v>42291</v>
      </c>
      <c r="M370" s="33">
        <v>0.97800152912096872</v>
      </c>
      <c r="N370" s="33">
        <v>0.98880346024332288</v>
      </c>
      <c r="O370" s="33">
        <v>0.98711137247621128</v>
      </c>
      <c r="P370" s="33">
        <v>1.0176151763377876</v>
      </c>
    </row>
    <row r="371" spans="8:16" x14ac:dyDescent="0.25">
      <c r="H371" s="399">
        <v>42291</v>
      </c>
      <c r="I371" s="33">
        <v>90.137600000000006</v>
      </c>
      <c r="J371" s="33">
        <v>49.15</v>
      </c>
      <c r="L371" s="399">
        <v>42290</v>
      </c>
      <c r="M371" s="33">
        <v>0.98271782755036652</v>
      </c>
      <c r="N371" s="33">
        <v>0.99324222872212786</v>
      </c>
      <c r="O371" s="33">
        <v>0.99399767921371729</v>
      </c>
      <c r="P371" s="33">
        <v>1.0282436199670029</v>
      </c>
    </row>
    <row r="372" spans="8:16" x14ac:dyDescent="0.25">
      <c r="H372" s="399">
        <v>42290</v>
      </c>
      <c r="I372" s="33">
        <v>89.981899999999996</v>
      </c>
      <c r="J372" s="33">
        <v>49.24</v>
      </c>
      <c r="L372" s="399">
        <v>42289</v>
      </c>
      <c r="M372" s="33">
        <v>0.98954324168497143</v>
      </c>
      <c r="N372" s="33">
        <v>1.0003052823264476</v>
      </c>
      <c r="O372" s="33">
        <v>1.001637245052013</v>
      </c>
      <c r="P372" s="33">
        <v>1.029472365807516</v>
      </c>
    </row>
    <row r="373" spans="8:16" x14ac:dyDescent="0.25">
      <c r="H373" s="399">
        <v>42289</v>
      </c>
      <c r="I373" s="33">
        <v>90.052400000000006</v>
      </c>
      <c r="J373" s="33">
        <v>49.86</v>
      </c>
      <c r="L373" s="399">
        <v>42286</v>
      </c>
      <c r="M373" s="33">
        <v>0.98826773781131094</v>
      </c>
      <c r="N373" s="33">
        <v>1.0013099046108946</v>
      </c>
      <c r="O373" s="33">
        <v>0.99942449969991687</v>
      </c>
      <c r="P373" s="33">
        <v>0.9936343452978591</v>
      </c>
    </row>
    <row r="374" spans="8:16" x14ac:dyDescent="0.25">
      <c r="H374" s="399">
        <v>42286</v>
      </c>
      <c r="I374" s="33">
        <v>91.008399999999995</v>
      </c>
      <c r="J374" s="33">
        <v>52.65</v>
      </c>
      <c r="L374" s="399">
        <v>42285</v>
      </c>
      <c r="M374" s="33">
        <v>0.98754260706427721</v>
      </c>
      <c r="N374" s="33">
        <v>0.98469462788909423</v>
      </c>
      <c r="O374" s="33">
        <v>0.98028799548705647</v>
      </c>
      <c r="P374" s="33">
        <v>0.97896245852664632</v>
      </c>
    </row>
    <row r="375" spans="8:16" x14ac:dyDescent="0.25">
      <c r="H375" s="399">
        <v>42285</v>
      </c>
      <c r="I375" s="33">
        <v>90.345200000000006</v>
      </c>
      <c r="J375" s="33">
        <v>53.05</v>
      </c>
      <c r="L375" s="399">
        <v>42284</v>
      </c>
      <c r="M375" s="33">
        <v>0.97872422072876764</v>
      </c>
      <c r="N375" s="33">
        <v>0.9816736500809371</v>
      </c>
      <c r="O375" s="33">
        <v>0.97453756074564479</v>
      </c>
      <c r="P375" s="33">
        <v>0.94866049164145116</v>
      </c>
    </row>
    <row r="376" spans="8:16" x14ac:dyDescent="0.25">
      <c r="H376" s="399">
        <v>42284</v>
      </c>
      <c r="I376" s="33">
        <v>90.108900000000006</v>
      </c>
      <c r="J376" s="33">
        <v>51.33</v>
      </c>
      <c r="L376" s="399">
        <v>42283</v>
      </c>
      <c r="M376" s="33">
        <v>0.97068854251954706</v>
      </c>
      <c r="N376" s="33">
        <v>0.98149334174872593</v>
      </c>
      <c r="O376" s="33">
        <v>0.96950206961204999</v>
      </c>
      <c r="P376" s="33">
        <v>0.94866049164145116</v>
      </c>
    </row>
    <row r="377" spans="8:16" x14ac:dyDescent="0.25">
      <c r="H377" s="399">
        <v>42283</v>
      </c>
      <c r="I377" s="33">
        <v>90.267499999999998</v>
      </c>
      <c r="J377" s="33">
        <v>51.92</v>
      </c>
      <c r="L377" s="399">
        <v>42282</v>
      </c>
      <c r="M377" s="33">
        <v>0.9742767763334923</v>
      </c>
      <c r="N377" s="33">
        <v>0.96532722842071395</v>
      </c>
      <c r="O377" s="33">
        <v>0.95367739055912515</v>
      </c>
      <c r="P377" s="33">
        <v>0.94866049164145116</v>
      </c>
    </row>
    <row r="378" spans="8:16" x14ac:dyDescent="0.25">
      <c r="H378" s="399">
        <v>42282</v>
      </c>
      <c r="I378" s="33">
        <v>88.800700000000006</v>
      </c>
      <c r="J378" s="33">
        <v>49.25</v>
      </c>
      <c r="L378" s="399">
        <v>42279</v>
      </c>
      <c r="M378" s="33">
        <v>0.95598696819967799</v>
      </c>
      <c r="N378" s="33">
        <v>0.93728436872844978</v>
      </c>
      <c r="O378" s="33">
        <v>0.93130739280414243</v>
      </c>
      <c r="P378" s="33">
        <v>0.94866049164145116</v>
      </c>
    </row>
    <row r="379" spans="8:16" x14ac:dyDescent="0.25">
      <c r="H379" s="399">
        <v>42279</v>
      </c>
      <c r="I379" s="33">
        <v>87.891400000000004</v>
      </c>
      <c r="J379" s="33">
        <v>48.13</v>
      </c>
      <c r="L379" s="399">
        <v>42278</v>
      </c>
      <c r="M379" s="33">
        <v>0.9416716996194574</v>
      </c>
      <c r="N379" s="33">
        <v>0.92691698634639863</v>
      </c>
      <c r="O379" s="33">
        <v>0.92257167137654816</v>
      </c>
      <c r="P379" s="33">
        <v>0.94866049164145116</v>
      </c>
    </row>
    <row r="380" spans="8:16" x14ac:dyDescent="0.25">
      <c r="H380" s="399">
        <v>42278</v>
      </c>
      <c r="I380" s="33">
        <v>87.130499999999998</v>
      </c>
      <c r="J380" s="33">
        <v>47.69</v>
      </c>
      <c r="L380" s="399">
        <v>42277</v>
      </c>
      <c r="M380" s="33">
        <v>0.93969777212874117</v>
      </c>
      <c r="N380" s="33">
        <v>0.93587549947759086</v>
      </c>
      <c r="O380" s="33">
        <v>0.9369897235749638</v>
      </c>
      <c r="P380" s="33">
        <v>0.94866049164145116</v>
      </c>
    </row>
    <row r="381" spans="8:16" x14ac:dyDescent="0.25">
      <c r="H381" s="399">
        <v>42277</v>
      </c>
      <c r="I381" s="33">
        <v>87.821399999999997</v>
      </c>
      <c r="J381" s="33">
        <v>48.37</v>
      </c>
      <c r="L381" s="399">
        <v>42276</v>
      </c>
      <c r="M381" s="33">
        <v>0.92062225025876687</v>
      </c>
      <c r="N381" s="33">
        <v>0.9196841610425226</v>
      </c>
      <c r="O381" s="33">
        <v>0.92193548878827247</v>
      </c>
      <c r="P381" s="33">
        <v>0.94341354724543258</v>
      </c>
    </row>
    <row r="382" spans="8:16" x14ac:dyDescent="0.25">
      <c r="H382" s="399">
        <v>42276</v>
      </c>
      <c r="I382" s="33">
        <v>87.561800000000005</v>
      </c>
      <c r="J382" s="33">
        <v>48.23</v>
      </c>
      <c r="L382" s="399">
        <v>42275</v>
      </c>
      <c r="M382" s="33">
        <v>0.91938936845068198</v>
      </c>
      <c r="N382" s="33">
        <v>0.92079582625470424</v>
      </c>
      <c r="O382" s="33">
        <v>0.9233914798818581</v>
      </c>
      <c r="P382" s="33">
        <v>0.96294588629531064</v>
      </c>
    </row>
    <row r="383" spans="8:16" x14ac:dyDescent="0.25">
      <c r="H383" s="399">
        <v>42275</v>
      </c>
      <c r="I383" s="33">
        <v>87.334400000000002</v>
      </c>
      <c r="J383" s="33">
        <v>47.34</v>
      </c>
      <c r="L383" s="399">
        <v>42272</v>
      </c>
      <c r="M383" s="33">
        <v>0.94505548627561176</v>
      </c>
      <c r="N383" s="33">
        <v>0.93993734928888339</v>
      </c>
      <c r="O383" s="33">
        <v>0.93999818770751564</v>
      </c>
      <c r="P383" s="33">
        <v>0.95926562500318679</v>
      </c>
    </row>
    <row r="384" spans="8:16" x14ac:dyDescent="0.25">
      <c r="H384" s="399">
        <v>42272</v>
      </c>
      <c r="I384" s="33">
        <v>88.494200000000006</v>
      </c>
      <c r="J384" s="33">
        <v>48.6</v>
      </c>
      <c r="L384" s="399">
        <v>42271</v>
      </c>
      <c r="M384" s="33">
        <v>0.94552126692397853</v>
      </c>
      <c r="N384" s="33">
        <v>0.91518549685439243</v>
      </c>
      <c r="O384" s="33">
        <v>0.91862549572934871</v>
      </c>
      <c r="P384" s="33">
        <v>0.97427987302266739</v>
      </c>
    </row>
    <row r="385" spans="8:16" x14ac:dyDescent="0.25">
      <c r="H385" s="399">
        <v>42271</v>
      </c>
      <c r="I385" s="33">
        <v>87.870400000000004</v>
      </c>
      <c r="J385" s="33">
        <v>48.17</v>
      </c>
      <c r="L385" s="399">
        <v>42270</v>
      </c>
      <c r="M385" s="33">
        <v>0.94888424119619375</v>
      </c>
      <c r="N385" s="33">
        <v>0.92777086162290012</v>
      </c>
      <c r="O385" s="33">
        <v>0.93075952239034332</v>
      </c>
      <c r="P385" s="33">
        <v>0.96466694325073599</v>
      </c>
    </row>
    <row r="386" spans="8:16" x14ac:dyDescent="0.25">
      <c r="H386" s="399">
        <v>42270</v>
      </c>
      <c r="I386" s="33">
        <v>87.186000000000007</v>
      </c>
      <c r="J386" s="33">
        <v>47.75</v>
      </c>
      <c r="L386" s="399">
        <v>42269</v>
      </c>
      <c r="M386" s="33">
        <v>0.9509328941296793</v>
      </c>
      <c r="N386" s="33">
        <v>0.92198947137271503</v>
      </c>
      <c r="O386" s="33">
        <v>0.9218608017900447</v>
      </c>
      <c r="P386" s="33">
        <v>0.98765930034320992</v>
      </c>
    </row>
    <row r="387" spans="8:16" x14ac:dyDescent="0.25">
      <c r="H387" s="399">
        <v>42269</v>
      </c>
      <c r="I387" s="33">
        <v>87.669300000000007</v>
      </c>
      <c r="J387" s="33">
        <v>49.08</v>
      </c>
      <c r="L387" s="399">
        <v>42268</v>
      </c>
      <c r="M387" s="33">
        <v>0.96325133315010159</v>
      </c>
      <c r="N387" s="33">
        <v>0.96377813634061704</v>
      </c>
      <c r="O387" s="33">
        <v>0.96747708124340415</v>
      </c>
      <c r="P387" s="33">
        <v>0.9797764873683108</v>
      </c>
    </row>
    <row r="388" spans="8:16" x14ac:dyDescent="0.25">
      <c r="H388" s="399">
        <v>42268</v>
      </c>
      <c r="I388" s="33">
        <v>88.561499999999995</v>
      </c>
      <c r="J388" s="33">
        <v>48.92</v>
      </c>
      <c r="L388" s="399">
        <v>42265</v>
      </c>
      <c r="M388" s="33">
        <v>0.95868551955173986</v>
      </c>
      <c r="N388" s="33">
        <v>0.96875917654968147</v>
      </c>
      <c r="O388" s="33">
        <v>0.97780695674997431</v>
      </c>
      <c r="P388" s="33">
        <v>0.9613012704136179</v>
      </c>
    </row>
    <row r="389" spans="8:16" x14ac:dyDescent="0.25">
      <c r="H389" s="399">
        <v>42265</v>
      </c>
      <c r="I389" s="33">
        <v>87.727199999999996</v>
      </c>
      <c r="J389" s="33">
        <v>47.47</v>
      </c>
      <c r="L389" s="399">
        <v>42264</v>
      </c>
      <c r="M389" s="33">
        <v>0.97484972415429239</v>
      </c>
      <c r="N389" s="33">
        <v>0.99360524084779378</v>
      </c>
      <c r="O389" s="33">
        <v>1.0030430559336785</v>
      </c>
      <c r="P389" s="33">
        <v>0.95739634454837841</v>
      </c>
    </row>
    <row r="390" spans="8:16" x14ac:dyDescent="0.25">
      <c r="H390" s="399">
        <v>42264</v>
      </c>
      <c r="I390" s="33">
        <v>89.031400000000005</v>
      </c>
      <c r="J390" s="33">
        <v>49.08</v>
      </c>
      <c r="L390" s="399">
        <v>42263</v>
      </c>
      <c r="M390" s="33">
        <v>0.97741072971232579</v>
      </c>
      <c r="N390" s="33">
        <v>0.99281782007961228</v>
      </c>
      <c r="O390" s="33">
        <v>1.0032535375312785</v>
      </c>
      <c r="P390" s="33">
        <v>0.97749037937750782</v>
      </c>
    </row>
    <row r="391" spans="8:16" x14ac:dyDescent="0.25">
      <c r="H391" s="399">
        <v>42263</v>
      </c>
      <c r="I391" s="33">
        <v>89.4589</v>
      </c>
      <c r="J391" s="33">
        <v>49.75</v>
      </c>
      <c r="L391" s="399">
        <v>42262</v>
      </c>
      <c r="M391" s="33">
        <v>0.96870536241356797</v>
      </c>
      <c r="N391" s="33">
        <v>0.97670508404224976</v>
      </c>
      <c r="O391" s="33">
        <v>0.99710450329767153</v>
      </c>
      <c r="P391" s="33">
        <v>0.92890665883318047</v>
      </c>
    </row>
    <row r="392" spans="8:16" x14ac:dyDescent="0.25">
      <c r="H392" s="399">
        <v>42262</v>
      </c>
      <c r="I392" s="33">
        <v>88.570999999999998</v>
      </c>
      <c r="J392" s="33">
        <v>46.63</v>
      </c>
      <c r="L392" s="399">
        <v>42261</v>
      </c>
      <c r="M392" s="33">
        <v>0.95587401829699026</v>
      </c>
      <c r="N392" s="33">
        <v>0.96984713803713696</v>
      </c>
      <c r="O392" s="33">
        <v>0.99473705443535954</v>
      </c>
      <c r="P392" s="33">
        <v>0.96420790534756629</v>
      </c>
    </row>
    <row r="393" spans="8:16" x14ac:dyDescent="0.25">
      <c r="H393" s="399">
        <v>42261</v>
      </c>
      <c r="I393" s="33">
        <v>88.572100000000006</v>
      </c>
      <c r="J393" s="33">
        <v>46.37</v>
      </c>
      <c r="L393" s="399">
        <v>42258</v>
      </c>
      <c r="M393" s="33">
        <v>0.95996366414997714</v>
      </c>
      <c r="N393" s="33">
        <v>0.97599454871738289</v>
      </c>
      <c r="O393" s="33">
        <v>0.99622258295827626</v>
      </c>
      <c r="P393" s="33">
        <v>0.99009460934678994</v>
      </c>
    </row>
    <row r="394" spans="8:16" x14ac:dyDescent="0.25">
      <c r="H394" s="399">
        <v>42258</v>
      </c>
      <c r="I394" s="33">
        <v>88.9268</v>
      </c>
      <c r="J394" s="33">
        <v>48.14</v>
      </c>
      <c r="L394" s="399">
        <v>42257</v>
      </c>
      <c r="M394" s="33">
        <v>0.95547662585136361</v>
      </c>
      <c r="N394" s="33">
        <v>0.97909600777966954</v>
      </c>
      <c r="O394" s="33">
        <v>0.99751307908028886</v>
      </c>
      <c r="P394" s="33">
        <v>0.98892310051807852</v>
      </c>
    </row>
    <row r="395" spans="8:16" x14ac:dyDescent="0.25">
      <c r="H395" s="399">
        <v>42257</v>
      </c>
      <c r="I395" s="33">
        <v>89.146199999999993</v>
      </c>
      <c r="J395" s="33">
        <v>48.89</v>
      </c>
      <c r="L395" s="399">
        <v>42256</v>
      </c>
      <c r="M395" s="33">
        <v>0.95019867071140762</v>
      </c>
      <c r="N395" s="33">
        <v>0.98494036523885242</v>
      </c>
      <c r="O395" s="33">
        <v>0.99736201216503595</v>
      </c>
      <c r="P395" s="33">
        <v>1.002797291767739</v>
      </c>
    </row>
    <row r="396" spans="8:16" x14ac:dyDescent="0.25">
      <c r="H396" s="399">
        <v>42256</v>
      </c>
      <c r="I396" s="33">
        <v>88.220100000000002</v>
      </c>
      <c r="J396" s="33">
        <v>47.58</v>
      </c>
      <c r="L396" s="399">
        <v>42255</v>
      </c>
      <c r="M396" s="33">
        <v>0.96409623394100441</v>
      </c>
      <c r="N396" s="33">
        <v>0.97593473328172431</v>
      </c>
      <c r="O396" s="33">
        <v>0.99642250052716586</v>
      </c>
      <c r="P396" s="33">
        <v>0.98189169725832626</v>
      </c>
    </row>
    <row r="397" spans="8:16" x14ac:dyDescent="0.25">
      <c r="H397" s="399">
        <v>42255</v>
      </c>
      <c r="I397" s="33">
        <v>89.350300000000004</v>
      </c>
      <c r="J397" s="33">
        <v>49.52</v>
      </c>
      <c r="L397" s="399">
        <v>42251</v>
      </c>
      <c r="M397" s="33">
        <v>0.93901321377673375</v>
      </c>
      <c r="N397" s="33">
        <v>0.95543397068404934</v>
      </c>
      <c r="O397" s="33">
        <v>0.96950608236079416</v>
      </c>
      <c r="P397" s="33">
        <v>0.97953553692472273</v>
      </c>
    </row>
    <row r="398" spans="8:16" x14ac:dyDescent="0.25">
      <c r="H398" s="399">
        <v>42251</v>
      </c>
      <c r="I398" s="33">
        <v>88.489400000000003</v>
      </c>
      <c r="J398" s="33">
        <v>49.61</v>
      </c>
      <c r="L398" s="399">
        <v>42250</v>
      </c>
      <c r="M398" s="33">
        <v>0.95434279202113581</v>
      </c>
      <c r="N398" s="33">
        <v>0.98054525851925556</v>
      </c>
      <c r="O398" s="33">
        <v>0.99426129161127963</v>
      </c>
      <c r="P398" s="33">
        <v>0.97953553692472273</v>
      </c>
    </row>
    <row r="399" spans="8:16" x14ac:dyDescent="0.25">
      <c r="H399" s="399">
        <v>42250</v>
      </c>
      <c r="I399" s="33">
        <v>89.419499999999999</v>
      </c>
      <c r="J399" s="33">
        <v>50.68</v>
      </c>
      <c r="L399" s="399">
        <v>42249</v>
      </c>
      <c r="M399" s="33">
        <v>0.95317800850667078</v>
      </c>
      <c r="N399" s="33">
        <v>0.96901472146627166</v>
      </c>
      <c r="O399" s="33">
        <v>0.97819619747680275</v>
      </c>
      <c r="P399" s="33">
        <v>0.97953553692472273</v>
      </c>
    </row>
    <row r="400" spans="8:16" x14ac:dyDescent="0.25">
      <c r="H400" s="399">
        <v>42249</v>
      </c>
      <c r="I400" s="33">
        <v>88.928100000000001</v>
      </c>
      <c r="J400" s="33">
        <v>50.5</v>
      </c>
      <c r="L400" s="399">
        <v>42248</v>
      </c>
      <c r="M400" s="33">
        <v>0.93488503883820151</v>
      </c>
      <c r="N400" s="33">
        <v>0.96904205299661594</v>
      </c>
      <c r="O400" s="33">
        <v>0.97815769297206545</v>
      </c>
      <c r="P400" s="33">
        <v>0.98014653997103007</v>
      </c>
    </row>
    <row r="401" spans="8:16" x14ac:dyDescent="0.25">
      <c r="H401" s="399">
        <v>42248</v>
      </c>
      <c r="I401" s="33">
        <v>88.738</v>
      </c>
      <c r="J401" s="33">
        <v>49.56</v>
      </c>
      <c r="L401" s="399">
        <v>42247</v>
      </c>
      <c r="M401" s="33">
        <v>0.96446144667115785</v>
      </c>
      <c r="N401" s="33">
        <v>0.98795284008040873</v>
      </c>
      <c r="O401" s="33">
        <v>0.99609201566081618</v>
      </c>
      <c r="P401" s="33">
        <v>0.99017514623183622</v>
      </c>
    </row>
    <row r="402" spans="8:16" x14ac:dyDescent="0.25">
      <c r="H402" s="399">
        <v>42247</v>
      </c>
      <c r="I402" s="33">
        <v>90.9328</v>
      </c>
      <c r="J402" s="33">
        <v>54.15</v>
      </c>
      <c r="L402" s="399">
        <v>42244</v>
      </c>
      <c r="M402" s="33">
        <v>0.9728531464805974</v>
      </c>
      <c r="N402" s="33">
        <v>0.991334224422455</v>
      </c>
      <c r="O402" s="33">
        <v>0.99810430677046202</v>
      </c>
      <c r="P402" s="33">
        <v>0.9974766859500992</v>
      </c>
    </row>
    <row r="403" spans="8:16" x14ac:dyDescent="0.25">
      <c r="H403" s="399">
        <v>42244</v>
      </c>
      <c r="I403" s="33">
        <v>89.357900000000001</v>
      </c>
      <c r="J403" s="33">
        <v>50.05</v>
      </c>
      <c r="L403" s="399">
        <v>42243</v>
      </c>
      <c r="M403" s="33">
        <v>0.97224439045592526</v>
      </c>
      <c r="N403" s="33">
        <v>0.99419946452313468</v>
      </c>
      <c r="O403" s="33">
        <v>1.0043813163229602</v>
      </c>
      <c r="P403" s="33">
        <v>0.94669143109739373</v>
      </c>
    </row>
    <row r="404" spans="8:16" x14ac:dyDescent="0.25">
      <c r="H404" s="399">
        <v>42243</v>
      </c>
      <c r="I404" s="33">
        <v>87.721599999999995</v>
      </c>
      <c r="J404" s="33">
        <v>47.56</v>
      </c>
      <c r="L404" s="399">
        <v>42242</v>
      </c>
      <c r="M404" s="33">
        <v>0.94794665429378222</v>
      </c>
      <c r="N404" s="33">
        <v>0.97303298725170428</v>
      </c>
      <c r="O404" s="33">
        <v>0.98605802432037892</v>
      </c>
      <c r="P404" s="33">
        <v>0.89178290944462901</v>
      </c>
    </row>
    <row r="405" spans="8:16" x14ac:dyDescent="0.25">
      <c r="H405" s="399">
        <v>42242</v>
      </c>
      <c r="I405" s="33">
        <v>85.138300000000001</v>
      </c>
      <c r="J405" s="33">
        <v>43.14</v>
      </c>
      <c r="L405" s="399">
        <v>42241</v>
      </c>
      <c r="M405" s="33">
        <v>0.90891280889779469</v>
      </c>
      <c r="N405" s="33">
        <v>0.99100305173734959</v>
      </c>
      <c r="O405" s="33">
        <v>1.0022454405484522</v>
      </c>
      <c r="P405" s="33">
        <v>0.90459882710710726</v>
      </c>
    </row>
    <row r="406" spans="8:16" x14ac:dyDescent="0.25">
      <c r="H406" s="399">
        <v>42241</v>
      </c>
      <c r="I406" s="33">
        <v>86.275199999999998</v>
      </c>
      <c r="J406" s="33">
        <v>43.21</v>
      </c>
      <c r="L406" s="399">
        <v>42240</v>
      </c>
      <c r="M406" s="33">
        <v>0.92243481649336001</v>
      </c>
      <c r="N406" s="33">
        <v>0.95357432698246125</v>
      </c>
      <c r="O406" s="33">
        <v>0.9621798114800999</v>
      </c>
      <c r="P406" s="33">
        <v>0.98184199013012274</v>
      </c>
    </row>
    <row r="407" spans="8:16" x14ac:dyDescent="0.25">
      <c r="H407" s="399">
        <v>42240</v>
      </c>
      <c r="I407" s="33">
        <v>85.853099999999998</v>
      </c>
      <c r="J407" s="33">
        <v>42.69</v>
      </c>
      <c r="L407" s="399">
        <v>42237</v>
      </c>
      <c r="M407" s="33">
        <v>0.96184848240064058</v>
      </c>
      <c r="N407" s="33">
        <v>0.99320683836094914</v>
      </c>
      <c r="O407" s="33">
        <v>0.99519630127666625</v>
      </c>
      <c r="P407" s="33">
        <v>1.0692794477851542</v>
      </c>
    </row>
    <row r="408" spans="8:16" x14ac:dyDescent="0.25">
      <c r="H408" s="399">
        <v>42237</v>
      </c>
      <c r="I408" s="33">
        <v>87.8048</v>
      </c>
      <c r="J408" s="33">
        <v>45.46</v>
      </c>
      <c r="L408" s="399">
        <v>42236</v>
      </c>
      <c r="M408" s="33">
        <v>0.99369946460358483</v>
      </c>
      <c r="N408" s="33">
        <v>1.0103487224624805</v>
      </c>
      <c r="O408" s="33">
        <v>1.0101233397608023</v>
      </c>
      <c r="P408" s="33">
        <v>1.1117319445897165</v>
      </c>
    </row>
    <row r="409" spans="8:16" x14ac:dyDescent="0.25">
      <c r="H409" s="399">
        <v>42236</v>
      </c>
      <c r="I409" s="33">
        <v>89.229699999999994</v>
      </c>
      <c r="J409" s="33">
        <v>46.62</v>
      </c>
      <c r="L409" s="399">
        <v>42235</v>
      </c>
      <c r="M409" s="33">
        <v>1.0147995747203855</v>
      </c>
      <c r="N409" s="33">
        <v>1.0205872080282261</v>
      </c>
      <c r="O409" s="33">
        <v>1.0215121193029515</v>
      </c>
      <c r="P409" s="33">
        <v>1.1445271079243566</v>
      </c>
    </row>
    <row r="410" spans="8:16" x14ac:dyDescent="0.25">
      <c r="H410" s="399">
        <v>42235</v>
      </c>
      <c r="I410" s="33">
        <v>88.526399999999995</v>
      </c>
      <c r="J410" s="33">
        <v>47.16</v>
      </c>
      <c r="L410" s="399">
        <v>42234</v>
      </c>
      <c r="M410" s="33">
        <v>1.0230545391443977</v>
      </c>
      <c r="N410" s="33">
        <v>1.0369358618471405</v>
      </c>
      <c r="O410" s="33">
        <v>1.0405323575523417</v>
      </c>
      <c r="P410" s="33">
        <v>1.1329174948231913</v>
      </c>
    </row>
    <row r="411" spans="8:16" x14ac:dyDescent="0.25">
      <c r="H411" s="399">
        <v>42234</v>
      </c>
      <c r="I411" s="33">
        <v>89.293800000000005</v>
      </c>
      <c r="J411" s="33">
        <v>48.81</v>
      </c>
      <c r="L411" s="399">
        <v>42233</v>
      </c>
      <c r="M411" s="33">
        <v>1.0256800599678217</v>
      </c>
      <c r="N411" s="33">
        <v>1.0419856985923741</v>
      </c>
      <c r="O411" s="33">
        <v>1.0470864195337501</v>
      </c>
      <c r="P411" s="33">
        <v>1.1942440422177634</v>
      </c>
    </row>
    <row r="412" spans="8:16" x14ac:dyDescent="0.25">
      <c r="H412" s="399">
        <v>42233</v>
      </c>
      <c r="I412" s="33">
        <v>89.814700000000002</v>
      </c>
      <c r="J412" s="33">
        <v>48.74</v>
      </c>
      <c r="L412" s="399">
        <v>42230</v>
      </c>
      <c r="M412" s="33">
        <v>1.0204685889942806</v>
      </c>
      <c r="N412" s="33">
        <v>1.0454149147383491</v>
      </c>
      <c r="O412" s="33">
        <v>1.0565300353063183</v>
      </c>
      <c r="P412" s="33">
        <v>1.187445335312364</v>
      </c>
    </row>
    <row r="413" spans="8:16" x14ac:dyDescent="0.25">
      <c r="H413" s="399">
        <v>42230</v>
      </c>
      <c r="I413" s="33">
        <v>90.3553</v>
      </c>
      <c r="J413" s="33">
        <v>49.03</v>
      </c>
      <c r="L413" s="399">
        <v>42229</v>
      </c>
      <c r="M413" s="33">
        <v>1.0165566953977865</v>
      </c>
      <c r="N413" s="33">
        <v>1.0525590572761798</v>
      </c>
      <c r="O413" s="33">
        <v>1.0592074054766378</v>
      </c>
      <c r="P413" s="33">
        <v>1.1838414625485552</v>
      </c>
    </row>
    <row r="414" spans="8:16" x14ac:dyDescent="0.25">
      <c r="H414" s="399">
        <v>42229</v>
      </c>
      <c r="I414" s="33">
        <v>90.453800000000001</v>
      </c>
      <c r="J414" s="33">
        <v>49.22</v>
      </c>
      <c r="L414" s="399">
        <v>42228</v>
      </c>
      <c r="M414" s="33">
        <v>1.0178318326188505</v>
      </c>
      <c r="N414" s="33">
        <v>1.0467007349436748</v>
      </c>
      <c r="O414" s="33">
        <v>1.054215359141867</v>
      </c>
      <c r="P414" s="33">
        <v>1.1685093630715198</v>
      </c>
    </row>
    <row r="415" spans="8:16" x14ac:dyDescent="0.25">
      <c r="H415" s="399">
        <v>42228</v>
      </c>
      <c r="I415" s="33">
        <v>90.831500000000005</v>
      </c>
      <c r="J415" s="33">
        <v>49.66</v>
      </c>
      <c r="L415" s="399">
        <v>42227</v>
      </c>
      <c r="M415" s="33">
        <v>1.0168817685615013</v>
      </c>
      <c r="N415" s="33">
        <v>1.066543867377781</v>
      </c>
      <c r="O415" s="33">
        <v>1.0731973837705233</v>
      </c>
      <c r="P415" s="33">
        <v>1.1886573963449631</v>
      </c>
    </row>
    <row r="416" spans="8:16" x14ac:dyDescent="0.25">
      <c r="H416" s="399">
        <v>42227</v>
      </c>
      <c r="I416" s="33">
        <v>91.117800000000003</v>
      </c>
      <c r="J416" s="33">
        <v>49.18</v>
      </c>
      <c r="L416" s="399">
        <v>42226</v>
      </c>
      <c r="M416" s="33">
        <v>1.0264389357240065</v>
      </c>
      <c r="N416" s="33">
        <v>1.0860331592804799</v>
      </c>
      <c r="O416" s="33">
        <v>1.1005375034619922</v>
      </c>
      <c r="P416" s="33">
        <v>1.2068426383527089</v>
      </c>
    </row>
    <row r="417" spans="8:16" x14ac:dyDescent="0.25">
      <c r="H417" s="399">
        <v>42226</v>
      </c>
      <c r="I417" s="33">
        <v>92.622699999999995</v>
      </c>
      <c r="J417" s="33">
        <v>50.41</v>
      </c>
      <c r="L417" s="399">
        <v>42223</v>
      </c>
      <c r="M417" s="33">
        <v>1.0136307030290794</v>
      </c>
      <c r="N417" s="33">
        <v>1.0697397865342211</v>
      </c>
      <c r="O417" s="33">
        <v>1.0845387137471691</v>
      </c>
      <c r="P417" s="33">
        <v>1.1575423677301204</v>
      </c>
    </row>
    <row r="418" spans="8:16" x14ac:dyDescent="0.25">
      <c r="H418" s="399">
        <v>42223</v>
      </c>
      <c r="I418" s="33">
        <v>90.479900000000001</v>
      </c>
      <c r="J418" s="33">
        <v>48.61</v>
      </c>
      <c r="L418" s="399">
        <v>42222</v>
      </c>
      <c r="M418" s="33">
        <v>1.0165055902413505</v>
      </c>
      <c r="N418" s="33">
        <v>1.0750140896073281</v>
      </c>
      <c r="O418" s="33">
        <v>1.0895890453760244</v>
      </c>
      <c r="P418" s="33">
        <v>1.1350480561697474</v>
      </c>
    </row>
    <row r="419" spans="8:16" x14ac:dyDescent="0.25">
      <c r="H419" s="33">
        <v>42222</v>
      </c>
      <c r="I419" s="33">
        <v>90.532300000000006</v>
      </c>
      <c r="J419" s="33">
        <v>49.52</v>
      </c>
      <c r="L419" s="399">
        <v>42221</v>
      </c>
      <c r="M419" s="33">
        <v>1.0242585618963336</v>
      </c>
      <c r="N419" s="33">
        <v>1.07249436733502</v>
      </c>
      <c r="O419" s="33">
        <v>1.0892276411529545</v>
      </c>
      <c r="P419" s="33">
        <v>1.1437180078859415</v>
      </c>
    </row>
    <row r="420" spans="8:16" x14ac:dyDescent="0.25">
      <c r="H420" s="33">
        <v>42221</v>
      </c>
      <c r="I420" s="33">
        <v>90.827299999999994</v>
      </c>
      <c r="J420" s="33">
        <v>49.59</v>
      </c>
      <c r="L420" s="399">
        <v>42220</v>
      </c>
      <c r="M420" s="33">
        <v>1.0211438923761458</v>
      </c>
      <c r="N420" s="33">
        <v>1.0648717652343946</v>
      </c>
      <c r="O420" s="33">
        <v>1.0817421004628613</v>
      </c>
      <c r="P420" s="33">
        <v>1.1608324365884966</v>
      </c>
    </row>
    <row r="421" spans="8:16" x14ac:dyDescent="0.25">
      <c r="H421" s="33">
        <v>42220</v>
      </c>
      <c r="I421" s="33">
        <v>91.115600000000001</v>
      </c>
      <c r="J421" s="33">
        <v>49.99</v>
      </c>
      <c r="L421" s="399">
        <v>42219</v>
      </c>
      <c r="M421" s="33">
        <v>1.0233936111612976</v>
      </c>
      <c r="N421" s="33">
        <v>1.0692068147899159</v>
      </c>
      <c r="O421" s="33">
        <v>1.0805715232371984</v>
      </c>
      <c r="P421" s="33">
        <v>1.124846920705997</v>
      </c>
    </row>
    <row r="422" spans="8:16" x14ac:dyDescent="0.25">
      <c r="H422" s="33">
        <v>42219</v>
      </c>
      <c r="I422" s="33">
        <v>90.433099999999996</v>
      </c>
      <c r="J422" s="33">
        <v>49.52</v>
      </c>
      <c r="L422" s="399">
        <v>42216</v>
      </c>
      <c r="M422" s="33">
        <v>1.0261504748011183</v>
      </c>
      <c r="N422" s="33">
        <v>1.0634209438370634</v>
      </c>
      <c r="O422" s="33">
        <v>1.0725206536673744</v>
      </c>
      <c r="P422" s="33">
        <v>1.134952337558933</v>
      </c>
    </row>
    <row r="423" spans="8:16" x14ac:dyDescent="0.25">
      <c r="H423" s="33">
        <v>42216</v>
      </c>
      <c r="I423" s="33">
        <v>91.782700000000006</v>
      </c>
      <c r="J423" s="33">
        <v>52.21</v>
      </c>
      <c r="L423" s="399">
        <v>42215</v>
      </c>
      <c r="M423" s="33">
        <v>1.0284220919174452</v>
      </c>
      <c r="N423" s="33">
        <v>1.0504193587934072</v>
      </c>
      <c r="O423" s="33">
        <v>1.0596305718399366</v>
      </c>
      <c r="P423" s="33">
        <v>1.1460899706611216</v>
      </c>
    </row>
    <row r="424" spans="8:16" x14ac:dyDescent="0.25">
      <c r="H424" s="33">
        <v>42215</v>
      </c>
      <c r="I424" s="33">
        <v>92.624499999999998</v>
      </c>
      <c r="J424" s="33">
        <v>53.31</v>
      </c>
      <c r="L424" s="399">
        <v>42214</v>
      </c>
      <c r="M424" s="33">
        <v>1.0283936366136137</v>
      </c>
      <c r="N424" s="33">
        <v>1.059190481789309</v>
      </c>
      <c r="O424" s="33">
        <v>1.0666905355618583</v>
      </c>
      <c r="P424" s="33">
        <v>1.1687620824233278</v>
      </c>
    </row>
    <row r="425" spans="8:16" x14ac:dyDescent="0.25">
      <c r="H425" s="33">
        <v>42214</v>
      </c>
      <c r="I425" s="33">
        <v>93.045000000000002</v>
      </c>
      <c r="J425" s="33">
        <v>53.38</v>
      </c>
      <c r="L425" s="399">
        <v>42213</v>
      </c>
      <c r="M425" s="33">
        <v>1.0210748739240159</v>
      </c>
      <c r="N425" s="33">
        <v>1.0543474540441906</v>
      </c>
      <c r="O425" s="33">
        <v>1.0644758541627093</v>
      </c>
      <c r="P425" s="33">
        <v>1.1338187295109572</v>
      </c>
    </row>
    <row r="426" spans="8:16" x14ac:dyDescent="0.25">
      <c r="H426" s="33">
        <v>42213</v>
      </c>
      <c r="I426" s="33">
        <v>92.897900000000007</v>
      </c>
      <c r="J426" s="33">
        <v>53.3</v>
      </c>
      <c r="L426" s="399">
        <v>42212</v>
      </c>
      <c r="M426" s="33">
        <v>1.0086887718946489</v>
      </c>
      <c r="N426" s="33">
        <v>1.0485912840831815</v>
      </c>
      <c r="O426" s="33">
        <v>1.0597588121708332</v>
      </c>
      <c r="P426" s="33">
        <v>1.1504038801974215</v>
      </c>
    </row>
    <row r="427" spans="8:16" x14ac:dyDescent="0.25">
      <c r="H427" s="33">
        <v>42212</v>
      </c>
      <c r="I427" s="33">
        <v>92.149299999999997</v>
      </c>
      <c r="J427" s="33">
        <v>53.47</v>
      </c>
      <c r="L427" s="399">
        <v>42209</v>
      </c>
      <c r="M427" s="33">
        <v>1.0144637821127143</v>
      </c>
      <c r="N427" s="33">
        <v>1.0607296669094399</v>
      </c>
      <c r="O427" s="33">
        <v>1.0734258199079507</v>
      </c>
      <c r="P427" s="33">
        <v>1.2353849182215968</v>
      </c>
    </row>
    <row r="428" spans="8:16" x14ac:dyDescent="0.25">
      <c r="H428" s="33">
        <v>42209</v>
      </c>
      <c r="I428" s="33">
        <v>93.287099999999995</v>
      </c>
      <c r="J428" s="33">
        <v>54.62</v>
      </c>
      <c r="L428" s="399">
        <v>42208</v>
      </c>
      <c r="M428" s="33">
        <v>1.0251671096583221</v>
      </c>
      <c r="N428" s="33">
        <v>1.071611654422163</v>
      </c>
      <c r="O428" s="33">
        <v>1.089074020297649</v>
      </c>
      <c r="P428" s="33">
        <v>1.2473660128277118</v>
      </c>
    </row>
    <row r="429" spans="8:16" x14ac:dyDescent="0.25">
      <c r="H429" s="33">
        <v>42208</v>
      </c>
      <c r="I429" s="33">
        <v>94.3904</v>
      </c>
      <c r="J429" s="33">
        <v>55.27</v>
      </c>
      <c r="L429" s="399">
        <v>42207</v>
      </c>
      <c r="M429" s="33">
        <v>1.0308431496744044</v>
      </c>
      <c r="N429" s="33">
        <v>1.0636177882413458</v>
      </c>
      <c r="O429" s="33">
        <v>1.0815685197861695</v>
      </c>
      <c r="P429" s="33">
        <v>1.2242415181272936</v>
      </c>
    </row>
    <row r="430" spans="8:16" x14ac:dyDescent="0.25">
      <c r="H430" s="33">
        <v>42207</v>
      </c>
      <c r="I430" s="33">
        <v>95.319900000000004</v>
      </c>
      <c r="J430" s="33">
        <v>56.13</v>
      </c>
      <c r="L430" s="399">
        <v>42206</v>
      </c>
      <c r="M430" s="33">
        <v>1.0332308318767343</v>
      </c>
      <c r="N430" s="33">
        <v>1.0721945147014891</v>
      </c>
      <c r="O430" s="33">
        <v>1.0939811230129184</v>
      </c>
      <c r="P430" s="33">
        <v>1.2222227048840182</v>
      </c>
    </row>
    <row r="431" spans="8:16" x14ac:dyDescent="0.25">
      <c r="H431" s="33">
        <v>42206</v>
      </c>
      <c r="I431" s="33">
        <v>96.359899999999996</v>
      </c>
      <c r="J431" s="33">
        <v>57.04</v>
      </c>
      <c r="L431" s="399">
        <v>42205</v>
      </c>
      <c r="M431" s="33">
        <v>1.0374924891774655</v>
      </c>
      <c r="N431" s="33">
        <v>1.0718085236799624</v>
      </c>
      <c r="O431" s="33">
        <v>1.0942824090512611</v>
      </c>
      <c r="P431" s="33">
        <v>1.2150242250399375</v>
      </c>
    </row>
    <row r="432" spans="8:16" x14ac:dyDescent="0.25">
      <c r="H432" s="33">
        <v>42205</v>
      </c>
      <c r="I432" s="33">
        <v>96.2029</v>
      </c>
      <c r="J432" s="33">
        <v>56.65</v>
      </c>
      <c r="L432" s="399">
        <v>42202</v>
      </c>
      <c r="M432" s="33">
        <v>1.0367213196330196</v>
      </c>
      <c r="N432" s="33">
        <v>1.0688640922874661</v>
      </c>
      <c r="O432" s="33">
        <v>1.0904270833722207</v>
      </c>
      <c r="P432" s="33">
        <v>1.2067770280514543</v>
      </c>
    </row>
    <row r="433" spans="8:16" x14ac:dyDescent="0.25">
      <c r="H433" s="33">
        <v>42202</v>
      </c>
      <c r="I433" s="33">
        <v>97.567700000000002</v>
      </c>
      <c r="J433" s="33">
        <v>57.1</v>
      </c>
      <c r="L433" s="399">
        <v>42201</v>
      </c>
      <c r="M433" s="33">
        <v>1.035615067661773</v>
      </c>
      <c r="N433" s="33">
        <v>1.0722591939988129</v>
      </c>
      <c r="O433" s="33">
        <v>1.0958665485997421</v>
      </c>
      <c r="P433" s="33">
        <v>1.1717482123148195</v>
      </c>
    </row>
    <row r="434" spans="8:16" x14ac:dyDescent="0.25">
      <c r="H434" s="33">
        <v>42201</v>
      </c>
      <c r="I434" s="33">
        <v>98.079099999999997</v>
      </c>
      <c r="J434" s="33">
        <v>57.51</v>
      </c>
      <c r="L434" s="399">
        <v>42200</v>
      </c>
      <c r="M434" s="33">
        <v>1.0276004524961664</v>
      </c>
      <c r="N434" s="33">
        <v>1.0643407671852927</v>
      </c>
      <c r="O434" s="33">
        <v>1.0871048428280541</v>
      </c>
      <c r="P434" s="33">
        <v>1.1667203204912142</v>
      </c>
    </row>
    <row r="435" spans="8:16" x14ac:dyDescent="0.25">
      <c r="H435" s="33">
        <v>42200</v>
      </c>
      <c r="I435" s="33">
        <v>98.482900000000001</v>
      </c>
      <c r="J435" s="33">
        <v>57.05</v>
      </c>
      <c r="L435" s="399">
        <v>42199</v>
      </c>
      <c r="M435" s="33">
        <v>1.0283354153923945</v>
      </c>
      <c r="N435" s="33">
        <v>1.0654651513886622</v>
      </c>
      <c r="O435" s="33">
        <v>1.0908620160727382</v>
      </c>
      <c r="P435" s="33">
        <v>1.1980181250407824</v>
      </c>
    </row>
    <row r="436" spans="8:16" x14ac:dyDescent="0.25">
      <c r="H436" s="33">
        <v>42199</v>
      </c>
      <c r="I436" s="33">
        <v>99.403700000000001</v>
      </c>
      <c r="J436" s="33">
        <v>58.51</v>
      </c>
      <c r="L436" s="399">
        <v>42198</v>
      </c>
      <c r="M436" s="33">
        <v>1.0238821862058831</v>
      </c>
      <c r="N436" s="33">
        <v>1.0617999370911386</v>
      </c>
      <c r="O436" s="33">
        <v>1.089031220554562</v>
      </c>
      <c r="P436" s="33">
        <v>1.2086708317402985</v>
      </c>
    </row>
    <row r="437" spans="8:16" x14ac:dyDescent="0.25">
      <c r="H437" s="33">
        <v>42198</v>
      </c>
      <c r="I437" s="33">
        <v>99.577600000000004</v>
      </c>
      <c r="J437" s="33">
        <v>57.85</v>
      </c>
      <c r="L437" s="399">
        <v>42195</v>
      </c>
      <c r="M437" s="33">
        <v>1.0128161269364933</v>
      </c>
      <c r="N437" s="33">
        <v>1.0542118276097963</v>
      </c>
      <c r="O437" s="33">
        <v>1.0839673170376978</v>
      </c>
      <c r="P437" s="33">
        <v>1.1839544597360732</v>
      </c>
    </row>
    <row r="438" spans="8:16" x14ac:dyDescent="0.25">
      <c r="H438" s="33">
        <v>42195</v>
      </c>
      <c r="I438" s="33">
        <v>99.334199999999996</v>
      </c>
      <c r="J438" s="33">
        <v>58.73</v>
      </c>
      <c r="L438" s="399">
        <v>42194</v>
      </c>
      <c r="M438" s="33">
        <v>1.0004776700479683</v>
      </c>
      <c r="N438" s="33">
        <v>1.0105894267239468</v>
      </c>
      <c r="O438" s="33">
        <v>1.043154016626783</v>
      </c>
      <c r="P438" s="33">
        <v>1.13951138422531</v>
      </c>
    </row>
    <row r="439" spans="8:16" x14ac:dyDescent="0.25">
      <c r="H439" s="33">
        <v>42194</v>
      </c>
      <c r="I439" s="33">
        <v>99.038200000000003</v>
      </c>
      <c r="J439" s="33">
        <v>58.61</v>
      </c>
      <c r="L439" s="399">
        <v>42193</v>
      </c>
      <c r="M439" s="33">
        <v>0.99821546980171583</v>
      </c>
      <c r="N439" s="33">
        <v>0.9871534254864871</v>
      </c>
      <c r="O439" s="33">
        <v>1.0243271211887564</v>
      </c>
      <c r="P439" s="33">
        <v>1.0823359483280428</v>
      </c>
    </row>
    <row r="440" spans="8:16" x14ac:dyDescent="0.25">
      <c r="H440" s="33">
        <v>42193</v>
      </c>
      <c r="I440" s="33">
        <v>97.844300000000004</v>
      </c>
      <c r="J440" s="33">
        <v>57.05</v>
      </c>
      <c r="L440" s="399">
        <v>42192</v>
      </c>
      <c r="M440" s="33">
        <v>1.0148682031369711</v>
      </c>
      <c r="N440" s="33">
        <v>0.96679188054379717</v>
      </c>
      <c r="O440" s="33">
        <v>1.0075079765110098</v>
      </c>
      <c r="P440" s="33">
        <v>1.1406319559473381</v>
      </c>
    </row>
    <row r="441" spans="8:16" x14ac:dyDescent="0.25">
      <c r="H441" s="33">
        <v>42192</v>
      </c>
      <c r="I441" s="33">
        <v>97.599400000000003</v>
      </c>
      <c r="J441" s="33">
        <v>56.85</v>
      </c>
      <c r="L441" s="399">
        <v>42191</v>
      </c>
      <c r="M441" s="33">
        <v>1.0087872657638588</v>
      </c>
      <c r="N441" s="33">
        <v>0.99991394377446419</v>
      </c>
      <c r="O441" s="33">
        <v>1.0391828673107519</v>
      </c>
      <c r="P441" s="33">
        <v>1.1538387638353882</v>
      </c>
    </row>
    <row r="442" spans="8:16" x14ac:dyDescent="0.25">
      <c r="H442" s="33">
        <v>42191</v>
      </c>
      <c r="I442" s="33">
        <v>99.107799999999997</v>
      </c>
      <c r="J442" s="33">
        <v>56.54</v>
      </c>
      <c r="L442" s="399">
        <v>42187</v>
      </c>
      <c r="M442" s="33">
        <v>1.0126490132768358</v>
      </c>
      <c r="N442" s="33">
        <v>1.0300645060357105</v>
      </c>
      <c r="O442" s="33">
        <v>1.0598445326543242</v>
      </c>
      <c r="P442" s="33">
        <v>1.1896853968162353</v>
      </c>
    </row>
    <row r="443" spans="8:16" x14ac:dyDescent="0.25">
      <c r="H443" s="33">
        <v>42187</v>
      </c>
      <c r="I443" s="33">
        <v>101.8648</v>
      </c>
      <c r="J443" s="33">
        <v>62.07</v>
      </c>
      <c r="L443" s="399">
        <v>42186</v>
      </c>
      <c r="M443" s="33">
        <v>1.0129570877153218</v>
      </c>
      <c r="N443" s="33">
        <v>1.0377230509056781</v>
      </c>
      <c r="O443" s="33">
        <v>1.0653101401844856</v>
      </c>
      <c r="P443" s="33">
        <v>1.2252454711058047</v>
      </c>
    </row>
    <row r="444" spans="8:16" x14ac:dyDescent="0.25">
      <c r="H444" s="33">
        <v>42186</v>
      </c>
      <c r="I444" s="33">
        <v>101.60290000000001</v>
      </c>
      <c r="J444" s="33">
        <v>62.01</v>
      </c>
      <c r="L444" s="399">
        <v>42185</v>
      </c>
      <c r="M444" s="33">
        <v>1.0060209573102536</v>
      </c>
      <c r="N444" s="33">
        <v>1.0237517972417729</v>
      </c>
      <c r="O444" s="33">
        <v>1.0508431828007541</v>
      </c>
      <c r="P444" s="33">
        <v>1.2775499697590087</v>
      </c>
    </row>
    <row r="445" spans="8:16" x14ac:dyDescent="0.25">
      <c r="H445" s="33">
        <v>42185</v>
      </c>
      <c r="I445" s="33">
        <v>102.6892</v>
      </c>
      <c r="J445" s="33">
        <v>63.59</v>
      </c>
      <c r="L445" s="399">
        <v>42184</v>
      </c>
      <c r="M445" s="33">
        <v>1.0033625719755981</v>
      </c>
      <c r="N445" s="33">
        <v>1.0419785494727711</v>
      </c>
      <c r="O445" s="33">
        <v>1.0686870399627502</v>
      </c>
      <c r="P445" s="33">
        <v>1.2202435551594948</v>
      </c>
    </row>
    <row r="446" spans="8:16" x14ac:dyDescent="0.25">
      <c r="H446" s="33">
        <v>42184</v>
      </c>
      <c r="I446" s="33">
        <v>100.7349</v>
      </c>
      <c r="J446" s="33">
        <v>62.01</v>
      </c>
      <c r="L446" s="399">
        <v>42181</v>
      </c>
      <c r="M446" s="33">
        <v>1.0242287193281907</v>
      </c>
      <c r="N446" s="33">
        <v>1.0791013542843051</v>
      </c>
      <c r="O446" s="33">
        <v>1.0992817868799407</v>
      </c>
      <c r="P446" s="33">
        <v>1.2537672094147876</v>
      </c>
    </row>
    <row r="447" spans="8:16" x14ac:dyDescent="0.25">
      <c r="H447" s="33">
        <v>42181</v>
      </c>
      <c r="I447" s="33">
        <v>101.1317</v>
      </c>
      <c r="J447" s="33">
        <v>63.26</v>
      </c>
      <c r="L447" s="399">
        <v>42180</v>
      </c>
      <c r="M447" s="33">
        <v>1.0246187664668147</v>
      </c>
      <c r="N447" s="33">
        <v>1.0806793427788026</v>
      </c>
      <c r="O447" s="33">
        <v>1.1020690138480793</v>
      </c>
      <c r="P447" s="33">
        <v>1.3277490286899156</v>
      </c>
    </row>
    <row r="448" spans="8:16" x14ac:dyDescent="0.25">
      <c r="H448" s="33">
        <v>42180</v>
      </c>
      <c r="I448" s="33">
        <v>100.9008</v>
      </c>
      <c r="J448" s="33">
        <v>63.2</v>
      </c>
      <c r="L448" s="399">
        <v>42179</v>
      </c>
      <c r="M448" s="33">
        <v>1.0275923316149238</v>
      </c>
      <c r="N448" s="33">
        <v>1.0788129365917225</v>
      </c>
      <c r="O448" s="33">
        <v>1.1000281668312155</v>
      </c>
      <c r="P448" s="33">
        <v>1.362710670369673</v>
      </c>
    </row>
    <row r="449" spans="8:16" x14ac:dyDescent="0.25">
      <c r="H449" s="33">
        <v>42179</v>
      </c>
      <c r="I449" s="33">
        <v>100.468</v>
      </c>
      <c r="J449" s="33">
        <v>63.49</v>
      </c>
      <c r="L449" s="399">
        <v>42178</v>
      </c>
      <c r="M449" s="33">
        <v>1.0349456881726868</v>
      </c>
      <c r="N449" s="33">
        <v>1.0818857136072273</v>
      </c>
      <c r="O449" s="33">
        <v>1.1051362226767703</v>
      </c>
      <c r="P449" s="33">
        <v>1.3375783529593965</v>
      </c>
    </row>
    <row r="450" spans="8:16" x14ac:dyDescent="0.25">
      <c r="H450" s="33">
        <v>42178</v>
      </c>
      <c r="I450" s="33">
        <v>100.7234</v>
      </c>
      <c r="J450" s="33">
        <v>64.45</v>
      </c>
      <c r="L450" s="399">
        <v>42177</v>
      </c>
      <c r="M450" s="33">
        <v>1.0343097506358849</v>
      </c>
      <c r="N450" s="33">
        <v>1.0905183187530101</v>
      </c>
      <c r="O450" s="33">
        <v>1.114905496448038</v>
      </c>
      <c r="P450" s="33">
        <v>1.3154528285581111</v>
      </c>
    </row>
    <row r="451" spans="8:16" x14ac:dyDescent="0.25">
      <c r="H451" s="33">
        <v>42177</v>
      </c>
      <c r="I451" s="33">
        <v>100.0458</v>
      </c>
      <c r="J451" s="33">
        <v>63.34</v>
      </c>
      <c r="L451" s="399">
        <v>42174</v>
      </c>
      <c r="M451" s="33">
        <v>1.0282149350206451</v>
      </c>
      <c r="N451" s="33">
        <v>1.0479101557859249</v>
      </c>
      <c r="O451" s="33">
        <v>1.0748125392163486</v>
      </c>
      <c r="P451" s="33">
        <v>1.3154528285581111</v>
      </c>
    </row>
    <row r="452" spans="8:16" x14ac:dyDescent="0.25">
      <c r="H452" s="33">
        <v>42174</v>
      </c>
      <c r="I452" s="33">
        <v>99.835300000000004</v>
      </c>
      <c r="J452" s="33">
        <v>63.02</v>
      </c>
      <c r="L452" s="399">
        <v>42173</v>
      </c>
      <c r="M452" s="33">
        <v>1.0335184367460508</v>
      </c>
      <c r="N452" s="33">
        <v>1.0491773992735638</v>
      </c>
      <c r="O452" s="33">
        <v>1.0830340097488378</v>
      </c>
      <c r="P452" s="33">
        <v>1.3801627409600608</v>
      </c>
    </row>
    <row r="453" spans="8:16" x14ac:dyDescent="0.25">
      <c r="H453" s="33">
        <v>42173</v>
      </c>
      <c r="I453" s="33">
        <v>100.6035</v>
      </c>
      <c r="J453" s="33">
        <v>64.260000000000005</v>
      </c>
      <c r="L453" s="399">
        <v>42172</v>
      </c>
      <c r="M453" s="33">
        <v>1.0236157496900056</v>
      </c>
      <c r="N453" s="33">
        <v>1.0331143184407616</v>
      </c>
      <c r="O453" s="33">
        <v>1.0621106903388853</v>
      </c>
      <c r="P453" s="33">
        <v>1.4165346578984925</v>
      </c>
    </row>
    <row r="454" spans="8:16" x14ac:dyDescent="0.25">
      <c r="H454" s="33">
        <v>42172</v>
      </c>
      <c r="I454" s="33">
        <v>100.523</v>
      </c>
      <c r="J454" s="33">
        <v>63.87</v>
      </c>
      <c r="L454" s="399">
        <v>42171</v>
      </c>
      <c r="M454" s="33">
        <v>1.0216360617651477</v>
      </c>
      <c r="N454" s="33">
        <v>1.0384167812167284</v>
      </c>
      <c r="O454" s="33">
        <v>1.0660531080427087</v>
      </c>
      <c r="P454" s="33">
        <v>1.4003163058644574</v>
      </c>
    </row>
    <row r="455" spans="8:16" x14ac:dyDescent="0.25">
      <c r="H455" s="33">
        <v>42171</v>
      </c>
      <c r="I455" s="33">
        <v>100.5206</v>
      </c>
      <c r="J455" s="33">
        <v>63.7</v>
      </c>
      <c r="L455" s="399">
        <v>42170</v>
      </c>
      <c r="M455" s="33">
        <v>1.0159462568784399</v>
      </c>
      <c r="N455" s="33">
        <v>1.0373191746481099</v>
      </c>
      <c r="O455" s="33">
        <v>1.0642430144076922</v>
      </c>
      <c r="P455" s="33">
        <v>1.4348516905127404</v>
      </c>
    </row>
    <row r="456" spans="8:16" x14ac:dyDescent="0.25">
      <c r="H456" s="33">
        <v>42170</v>
      </c>
      <c r="I456" s="33">
        <v>100.2693</v>
      </c>
      <c r="J456" s="33">
        <v>62.61</v>
      </c>
      <c r="L456" s="399">
        <v>42167</v>
      </c>
      <c r="M456" s="33">
        <v>1.0205687456684274</v>
      </c>
      <c r="N456" s="33">
        <v>1.0550937663438198</v>
      </c>
      <c r="O456" s="33">
        <v>1.0824385019633405</v>
      </c>
      <c r="P456" s="33">
        <v>1.4546996264720269</v>
      </c>
    </row>
    <row r="457" spans="8:16" x14ac:dyDescent="0.25">
      <c r="H457" s="33">
        <v>42167</v>
      </c>
      <c r="I457" s="33">
        <v>100.5809</v>
      </c>
      <c r="J457" s="33">
        <v>63.87</v>
      </c>
      <c r="L457" s="399">
        <v>42166</v>
      </c>
      <c r="M457" s="33">
        <v>1.0275630459064709</v>
      </c>
      <c r="N457" s="33">
        <v>1.065945484098175</v>
      </c>
      <c r="O457" s="33">
        <v>1.0914761478288457</v>
      </c>
      <c r="P457" s="33">
        <v>1.4470166828904061</v>
      </c>
    </row>
    <row r="458" spans="8:16" x14ac:dyDescent="0.25">
      <c r="H458" s="33">
        <v>42166</v>
      </c>
      <c r="I458" s="33">
        <v>101.49420000000001</v>
      </c>
      <c r="J458" s="33">
        <v>65.11</v>
      </c>
      <c r="L458" s="399">
        <v>42165</v>
      </c>
      <c r="M458" s="33">
        <v>1.0258244937499059</v>
      </c>
      <c r="N458" s="33">
        <v>1.0644368870880259</v>
      </c>
      <c r="O458" s="33">
        <v>1.0911896348392855</v>
      </c>
      <c r="P458" s="33">
        <v>1.4437272978955851</v>
      </c>
    </row>
    <row r="459" spans="8:16" x14ac:dyDescent="0.25">
      <c r="H459" s="33">
        <v>42165</v>
      </c>
      <c r="I459" s="33">
        <v>102.712</v>
      </c>
      <c r="J459" s="33">
        <v>65.7</v>
      </c>
      <c r="L459" s="399">
        <v>42164</v>
      </c>
      <c r="M459" s="33">
        <v>1.0137820929615011</v>
      </c>
      <c r="N459" s="33">
        <v>1.0411989013274696</v>
      </c>
      <c r="O459" s="33">
        <v>1.0640941120005172</v>
      </c>
      <c r="P459" s="33">
        <v>1.4454511376947923</v>
      </c>
    </row>
    <row r="460" spans="8:16" x14ac:dyDescent="0.25">
      <c r="H460" s="33">
        <v>42164</v>
      </c>
      <c r="I460" s="33">
        <v>102.17489999999999</v>
      </c>
      <c r="J460" s="33">
        <v>64.88</v>
      </c>
      <c r="L460" s="399">
        <v>42163</v>
      </c>
      <c r="M460" s="33">
        <v>1.0133636788950935</v>
      </c>
      <c r="N460" s="33">
        <v>1.0412374849582169</v>
      </c>
      <c r="O460" s="33">
        <v>1.0665697837430477</v>
      </c>
      <c r="P460" s="33">
        <v>1.4483033421817715</v>
      </c>
    </row>
    <row r="461" spans="8:16" x14ac:dyDescent="0.25">
      <c r="H461" s="33">
        <v>42163</v>
      </c>
      <c r="I461" s="33">
        <v>100.6041</v>
      </c>
      <c r="J461" s="33">
        <v>62.69</v>
      </c>
      <c r="L461" s="399">
        <v>42160</v>
      </c>
      <c r="M461" s="33">
        <v>1.0198381655949209</v>
      </c>
      <c r="N461" s="33">
        <v>1.043614920608642</v>
      </c>
      <c r="O461" s="33">
        <v>1.0688755379888715</v>
      </c>
      <c r="P461" s="33">
        <v>1.4275844677176179</v>
      </c>
    </row>
    <row r="462" spans="8:16" x14ac:dyDescent="0.25">
      <c r="H462" s="33">
        <v>42160</v>
      </c>
      <c r="I462" s="33">
        <v>100.2458</v>
      </c>
      <c r="J462" s="33">
        <v>63.31</v>
      </c>
      <c r="L462" s="399">
        <v>42159</v>
      </c>
      <c r="M462" s="33">
        <v>1.0212743439291452</v>
      </c>
      <c r="N462" s="33">
        <v>1.0708178246757907</v>
      </c>
      <c r="O462" s="33">
        <v>1.0956947013304954</v>
      </c>
      <c r="P462" s="33">
        <v>1.4121578328302675</v>
      </c>
    </row>
    <row r="463" spans="8:16" x14ac:dyDescent="0.25">
      <c r="H463" s="33">
        <v>42159</v>
      </c>
      <c r="I463" s="33">
        <v>100.0515</v>
      </c>
      <c r="J463" s="33">
        <v>62.03</v>
      </c>
      <c r="L463" s="399">
        <v>42158</v>
      </c>
      <c r="M463" s="33">
        <v>1.0298975210235648</v>
      </c>
      <c r="N463" s="33">
        <v>1.0755649314518942</v>
      </c>
      <c r="O463" s="33">
        <v>1.0997026739419109</v>
      </c>
      <c r="P463" s="33">
        <v>1.4066601359813191</v>
      </c>
    </row>
    <row r="464" spans="8:16" x14ac:dyDescent="0.25">
      <c r="H464" s="33">
        <v>42158</v>
      </c>
      <c r="I464" s="33">
        <v>100.9914</v>
      </c>
      <c r="J464" s="33">
        <v>63.8</v>
      </c>
      <c r="L464" s="399">
        <v>42157</v>
      </c>
      <c r="M464" s="33">
        <v>1.0277786359268637</v>
      </c>
      <c r="N464" s="33">
        <v>1.0622051233043983</v>
      </c>
      <c r="O464" s="33">
        <v>1.0844696827311147</v>
      </c>
      <c r="P464" s="33">
        <v>1.4049948270859502</v>
      </c>
    </row>
    <row r="465" spans="8:16" x14ac:dyDescent="0.25">
      <c r="H465" s="33">
        <v>42157</v>
      </c>
      <c r="I465" s="33">
        <v>102.0676</v>
      </c>
      <c r="J465" s="33">
        <v>65.489999999999995</v>
      </c>
      <c r="L465" s="399">
        <v>42156</v>
      </c>
      <c r="M465" s="33">
        <v>1.0287872876010833</v>
      </c>
      <c r="N465" s="33">
        <v>1.0425243155368169</v>
      </c>
      <c r="O465" s="33">
        <v>1.0706224268202065</v>
      </c>
      <c r="P465" s="33">
        <v>1.3884998204401873</v>
      </c>
    </row>
    <row r="466" spans="8:16" x14ac:dyDescent="0.25">
      <c r="H466" s="33">
        <v>42156</v>
      </c>
      <c r="I466" s="33">
        <v>101.0561</v>
      </c>
      <c r="J466" s="33">
        <v>64.88</v>
      </c>
      <c r="L466" s="399">
        <v>42153</v>
      </c>
      <c r="M466" s="33">
        <v>1.0267278681296044</v>
      </c>
      <c r="N466" s="33">
        <v>1.0462583379917705</v>
      </c>
      <c r="O466" s="33">
        <v>1.0736055872636538</v>
      </c>
      <c r="P466" s="33">
        <v>1.3423258697228637</v>
      </c>
    </row>
    <row r="467" spans="8:16" x14ac:dyDescent="0.25">
      <c r="H467" s="33">
        <v>42153</v>
      </c>
      <c r="I467" s="33">
        <v>100.9465</v>
      </c>
      <c r="J467" s="33">
        <v>65.56</v>
      </c>
      <c r="L467" s="399">
        <v>42152</v>
      </c>
      <c r="M467" s="33">
        <v>1.0330462683483908</v>
      </c>
      <c r="N467" s="33">
        <v>1.0643046993207936</v>
      </c>
      <c r="O467" s="33">
        <v>1.0923463510993234</v>
      </c>
      <c r="P467" s="33">
        <v>1.3416395015694431</v>
      </c>
    </row>
    <row r="468" spans="8:16" x14ac:dyDescent="0.25">
      <c r="H468" s="33">
        <v>42152</v>
      </c>
      <c r="I468" s="33">
        <v>100.1561</v>
      </c>
      <c r="J468" s="33">
        <v>62.58</v>
      </c>
      <c r="L468" s="399">
        <v>42151</v>
      </c>
      <c r="M468" s="33">
        <v>1.0343130568276795</v>
      </c>
      <c r="N468" s="33">
        <v>1.0686646247708884</v>
      </c>
      <c r="O468" s="33">
        <v>1.0959186801462497</v>
      </c>
      <c r="P468" s="33">
        <v>1.4083289931418466</v>
      </c>
    </row>
    <row r="469" spans="8:16" x14ac:dyDescent="0.25">
      <c r="H469" s="33">
        <v>42151</v>
      </c>
      <c r="I469" s="33">
        <v>100.0014</v>
      </c>
      <c r="J469" s="33">
        <v>62.06</v>
      </c>
      <c r="L469" s="399">
        <v>42150</v>
      </c>
      <c r="M469" s="33">
        <v>1.0251504297009801</v>
      </c>
      <c r="N469" s="33">
        <v>1.0519413207428965</v>
      </c>
      <c r="O469" s="33">
        <v>1.0841964297119495</v>
      </c>
      <c r="P469" s="33">
        <v>1.4008359853166472</v>
      </c>
    </row>
    <row r="470" spans="8:16" x14ac:dyDescent="0.25">
      <c r="H470" s="33">
        <v>42150</v>
      </c>
      <c r="I470" s="33">
        <v>100.77200000000001</v>
      </c>
      <c r="J470" s="33">
        <v>63.72</v>
      </c>
      <c r="L470" s="399">
        <v>42146</v>
      </c>
      <c r="M470" s="33">
        <v>1.0354323596559203</v>
      </c>
      <c r="N470" s="33">
        <v>1.0811310715789428</v>
      </c>
      <c r="O470" s="33">
        <v>1.1131951659215202</v>
      </c>
      <c r="P470" s="33">
        <v>1.3475900601794479</v>
      </c>
    </row>
    <row r="471" spans="8:16" x14ac:dyDescent="0.25">
      <c r="H471" s="33">
        <v>42146</v>
      </c>
      <c r="I471" s="33">
        <v>102.5038</v>
      </c>
      <c r="J471" s="33">
        <v>65.37</v>
      </c>
      <c r="L471" s="399">
        <v>42145</v>
      </c>
      <c r="M471" s="33">
        <v>1.0376662414479068</v>
      </c>
      <c r="N471" s="33">
        <v>1.0923295883923494</v>
      </c>
      <c r="O471" s="33">
        <v>1.1259617431955511</v>
      </c>
      <c r="P471" s="33">
        <v>1.3197397710054695</v>
      </c>
    </row>
    <row r="472" spans="8:16" x14ac:dyDescent="0.25">
      <c r="H472" s="33">
        <v>42145</v>
      </c>
      <c r="I472" s="33">
        <v>103.7503</v>
      </c>
      <c r="J472" s="33">
        <v>66.540000000000006</v>
      </c>
      <c r="L472" s="399">
        <v>42144</v>
      </c>
      <c r="M472" s="33">
        <v>1.0353283530738442</v>
      </c>
      <c r="N472" s="33">
        <v>1.0878390497571693</v>
      </c>
      <c r="O472" s="33">
        <v>1.1215334369897398</v>
      </c>
      <c r="P472" s="33">
        <v>1.2994310076829572</v>
      </c>
    </row>
    <row r="473" spans="8:16" x14ac:dyDescent="0.25">
      <c r="H473" s="33">
        <v>42144</v>
      </c>
      <c r="I473" s="33">
        <v>102.94280000000001</v>
      </c>
      <c r="J473" s="33">
        <v>65.03</v>
      </c>
      <c r="L473" s="399">
        <v>42143</v>
      </c>
      <c r="M473" s="33">
        <v>1.0362588785387543</v>
      </c>
      <c r="N473" s="33">
        <v>1.0887195495142441</v>
      </c>
      <c r="O473" s="33">
        <v>1.1263374774486516</v>
      </c>
      <c r="P473" s="33">
        <v>1.2925691019808703</v>
      </c>
    </row>
    <row r="474" spans="8:16" x14ac:dyDescent="0.25">
      <c r="H474" s="33">
        <v>42143</v>
      </c>
      <c r="I474" s="33">
        <v>102.8047</v>
      </c>
      <c r="J474" s="33">
        <v>64.02</v>
      </c>
      <c r="L474" s="399">
        <v>42142</v>
      </c>
      <c r="M474" s="33">
        <v>1.0369023126924271</v>
      </c>
      <c r="N474" s="33">
        <v>1.0844474454370086</v>
      </c>
      <c r="O474" s="33">
        <v>1.1223681119251152</v>
      </c>
      <c r="P474" s="33">
        <v>1.2617039498329561</v>
      </c>
    </row>
    <row r="475" spans="8:16" x14ac:dyDescent="0.25">
      <c r="H475" s="33">
        <v>42142</v>
      </c>
      <c r="I475" s="33">
        <v>105.08799999999999</v>
      </c>
      <c r="J475" s="33">
        <v>66.27</v>
      </c>
      <c r="L475" s="399">
        <v>42139</v>
      </c>
      <c r="M475" s="33">
        <v>1.0338543508696802</v>
      </c>
      <c r="N475" s="33">
        <v>1.0870449489168559</v>
      </c>
      <c r="O475" s="33">
        <v>1.1166810313345312</v>
      </c>
      <c r="P475" s="33">
        <v>1.2676809440698964</v>
      </c>
    </row>
    <row r="476" spans="8:16" x14ac:dyDescent="0.25">
      <c r="H476" s="33">
        <v>42139</v>
      </c>
      <c r="I476" s="33">
        <v>105.34529999999999</v>
      </c>
      <c r="J476" s="33">
        <v>66.81</v>
      </c>
      <c r="L476" s="399">
        <v>42138</v>
      </c>
      <c r="M476" s="33">
        <v>1.0330858816791659</v>
      </c>
      <c r="N476" s="33">
        <v>1.0905171415753898</v>
      </c>
      <c r="O476" s="33">
        <v>1.12182584918488</v>
      </c>
      <c r="P476" s="33">
        <v>1.2839469309589031</v>
      </c>
    </row>
    <row r="477" spans="8:16" x14ac:dyDescent="0.25">
      <c r="H477" s="33">
        <v>42138</v>
      </c>
      <c r="I477" s="33">
        <v>105.49379999999999</v>
      </c>
      <c r="J477" s="33">
        <v>66.59</v>
      </c>
      <c r="L477" s="399">
        <v>42137</v>
      </c>
      <c r="M477" s="33">
        <v>1.0223066509979111</v>
      </c>
      <c r="N477" s="33">
        <v>1.076070673300241</v>
      </c>
      <c r="O477" s="33">
        <v>1.1027540122597332</v>
      </c>
      <c r="P477" s="33">
        <v>1.2829281226248099</v>
      </c>
    </row>
    <row r="478" spans="8:16" x14ac:dyDescent="0.25">
      <c r="H478" s="33">
        <v>42137</v>
      </c>
      <c r="I478" s="33">
        <v>104.9837</v>
      </c>
      <c r="J478" s="33">
        <v>66.81</v>
      </c>
      <c r="L478" s="399">
        <v>42136</v>
      </c>
      <c r="M478" s="33">
        <v>1.0226115406659626</v>
      </c>
      <c r="N478" s="33">
        <v>1.0697193353193866</v>
      </c>
      <c r="O478" s="33">
        <v>1.1014975432234242</v>
      </c>
      <c r="P478" s="33">
        <v>1.2878795515049548</v>
      </c>
    </row>
    <row r="479" spans="8:16" x14ac:dyDescent="0.25">
      <c r="H479" s="33">
        <v>42136</v>
      </c>
      <c r="I479" s="33">
        <v>104.6512</v>
      </c>
      <c r="J479" s="33">
        <v>66.86</v>
      </c>
      <c r="L479" s="399">
        <v>42135</v>
      </c>
      <c r="M479" s="33">
        <v>1.0255611970143734</v>
      </c>
      <c r="N479" s="33">
        <v>1.0768961808493933</v>
      </c>
      <c r="O479" s="33">
        <v>1.1117528164346573</v>
      </c>
      <c r="P479" s="33">
        <v>1.2716178157859384</v>
      </c>
    </row>
    <row r="480" spans="8:16" x14ac:dyDescent="0.25">
      <c r="H480" s="33">
        <v>42135</v>
      </c>
      <c r="I480" s="33">
        <v>103.3951</v>
      </c>
      <c r="J480" s="33">
        <v>64.91</v>
      </c>
      <c r="L480" s="399">
        <v>42132</v>
      </c>
      <c r="M480" s="33">
        <v>1.0306507485478549</v>
      </c>
      <c r="N480" s="33">
        <v>1.0893415766551797</v>
      </c>
      <c r="O480" s="33">
        <v>1.1204567374037091</v>
      </c>
      <c r="P480" s="33">
        <v>1.241595459371839</v>
      </c>
    </row>
    <row r="481" spans="8:16" x14ac:dyDescent="0.25">
      <c r="H481" s="33">
        <v>42132</v>
      </c>
      <c r="I481" s="33">
        <v>104.0993</v>
      </c>
      <c r="J481" s="33">
        <v>65.39</v>
      </c>
      <c r="L481" s="399">
        <v>42131</v>
      </c>
      <c r="M481" s="33">
        <v>1.0171928941417248</v>
      </c>
      <c r="N481" s="33">
        <v>1.0673040075313747</v>
      </c>
      <c r="O481" s="33">
        <v>1.0981957036076335</v>
      </c>
      <c r="P481" s="33">
        <v>1.2196652182088026</v>
      </c>
    </row>
    <row r="482" spans="8:16" x14ac:dyDescent="0.25">
      <c r="H482" s="33">
        <v>42131</v>
      </c>
      <c r="I482" s="33">
        <v>103.10429999999999</v>
      </c>
      <c r="J482" s="33">
        <v>65.540000000000006</v>
      </c>
      <c r="L482" s="399">
        <v>42130</v>
      </c>
      <c r="M482" s="33">
        <v>1.0134191278267957</v>
      </c>
      <c r="N482" s="33">
        <v>1.0727587018249549</v>
      </c>
      <c r="O482" s="33">
        <v>1.0980724365908787</v>
      </c>
      <c r="P482" s="33">
        <v>1.2483603455378436</v>
      </c>
    </row>
    <row r="483" spans="8:16" x14ac:dyDescent="0.25">
      <c r="H483" s="33">
        <v>42130</v>
      </c>
      <c r="I483" s="33">
        <v>104.562</v>
      </c>
      <c r="J483" s="33">
        <v>67.77</v>
      </c>
      <c r="L483" s="399">
        <v>42129</v>
      </c>
      <c r="M483" s="33">
        <v>1.0178748245139779</v>
      </c>
      <c r="N483" s="33">
        <v>1.0585974802238338</v>
      </c>
      <c r="O483" s="33">
        <v>1.0851752470008211</v>
      </c>
      <c r="P483" s="33">
        <v>1.2634189936690956</v>
      </c>
    </row>
    <row r="484" spans="8:16" x14ac:dyDescent="0.25">
      <c r="H484" s="33">
        <v>42129</v>
      </c>
      <c r="I484" s="33">
        <v>104.7285</v>
      </c>
      <c r="J484" s="33">
        <v>67.52</v>
      </c>
      <c r="L484" s="399">
        <v>42128</v>
      </c>
      <c r="M484" s="33">
        <v>1.0297121942816285</v>
      </c>
      <c r="N484" s="33">
        <v>1.078700047228756</v>
      </c>
      <c r="O484" s="33">
        <v>1.1066501417984913</v>
      </c>
      <c r="P484" s="33">
        <v>1.3034137534152808</v>
      </c>
    </row>
    <row r="485" spans="8:16" x14ac:dyDescent="0.25">
      <c r="H485" s="33">
        <v>42128</v>
      </c>
      <c r="I485" s="33">
        <v>103.6961</v>
      </c>
      <c r="J485" s="33">
        <v>66.45</v>
      </c>
      <c r="L485" s="399">
        <v>42125</v>
      </c>
      <c r="M485" s="33">
        <v>1.0267714223764353</v>
      </c>
      <c r="N485" s="33">
        <v>1.0788295421252601</v>
      </c>
      <c r="O485" s="33">
        <v>1.097179598156627</v>
      </c>
      <c r="P485" s="33">
        <v>1.2963331914112963</v>
      </c>
    </row>
    <row r="486" spans="8:16" x14ac:dyDescent="0.25">
      <c r="H486" s="33">
        <v>42125</v>
      </c>
      <c r="I486" s="33">
        <v>103.3993</v>
      </c>
      <c r="J486" s="33">
        <v>66.459999999999994</v>
      </c>
      <c r="L486" s="399">
        <v>42124</v>
      </c>
      <c r="M486" s="33">
        <v>1.0158484347139454</v>
      </c>
      <c r="N486" s="33">
        <v>1.0788295421252601</v>
      </c>
      <c r="O486" s="33">
        <v>1.097179598156627</v>
      </c>
      <c r="P486" s="33">
        <v>1.2963331914112963</v>
      </c>
    </row>
    <row r="487" spans="8:16" x14ac:dyDescent="0.25">
      <c r="H487" s="33">
        <v>42124</v>
      </c>
      <c r="I487" s="33">
        <v>103.7471</v>
      </c>
      <c r="J487" s="33">
        <v>66.78</v>
      </c>
      <c r="L487" s="399">
        <v>42123</v>
      </c>
      <c r="M487" s="33">
        <v>1.0259773000816743</v>
      </c>
      <c r="N487" s="33">
        <v>1.0729710053069379</v>
      </c>
      <c r="O487" s="33">
        <v>1.0889917143187406</v>
      </c>
      <c r="P487" s="33">
        <v>1.3039677052554297</v>
      </c>
    </row>
    <row r="488" spans="8:16" x14ac:dyDescent="0.25">
      <c r="H488" s="33">
        <v>42123</v>
      </c>
      <c r="I488" s="33">
        <v>103.0634</v>
      </c>
      <c r="J488" s="33">
        <v>65.84</v>
      </c>
      <c r="L488" s="399">
        <v>42122</v>
      </c>
      <c r="M488" s="33">
        <v>1.0297176772403116</v>
      </c>
      <c r="N488" s="33">
        <v>1.0838990437729099</v>
      </c>
      <c r="O488" s="33">
        <v>1.1056313928590553</v>
      </c>
      <c r="P488" s="33">
        <v>1.3032158078376312</v>
      </c>
    </row>
    <row r="489" spans="8:16" x14ac:dyDescent="0.25">
      <c r="H489" s="33">
        <v>42122</v>
      </c>
      <c r="I489" s="33">
        <v>102.06100000000001</v>
      </c>
      <c r="J489" s="33">
        <v>64.64</v>
      </c>
      <c r="L489" s="399">
        <v>42121</v>
      </c>
      <c r="M489" s="33">
        <v>1.0269484873231978</v>
      </c>
      <c r="N489" s="33">
        <v>1.0931554338578153</v>
      </c>
      <c r="O489" s="33">
        <v>1.1189510530878608</v>
      </c>
      <c r="P489" s="33">
        <v>1.3124333382199449</v>
      </c>
    </row>
    <row r="490" spans="8:16" x14ac:dyDescent="0.25">
      <c r="H490" s="33">
        <v>42121</v>
      </c>
      <c r="I490" s="33">
        <v>101.765</v>
      </c>
      <c r="J490" s="33">
        <v>64.83</v>
      </c>
      <c r="L490" s="399">
        <v>42118</v>
      </c>
      <c r="M490" s="33">
        <v>1.0310897922356261</v>
      </c>
      <c r="N490" s="33">
        <v>1.0726234015361253</v>
      </c>
      <c r="O490" s="33">
        <v>1.0945487117467554</v>
      </c>
      <c r="P490" s="33">
        <v>1.2859283754793753</v>
      </c>
    </row>
    <row r="491" spans="8:16" x14ac:dyDescent="0.25">
      <c r="H491" s="33">
        <v>42118</v>
      </c>
      <c r="I491" s="33">
        <v>101.59059999999999</v>
      </c>
      <c r="J491" s="33">
        <v>65.28</v>
      </c>
      <c r="L491" s="399">
        <v>42117</v>
      </c>
      <c r="M491" s="33">
        <v>1.0288369963550239</v>
      </c>
      <c r="N491" s="33">
        <v>1.0655840610442868</v>
      </c>
      <c r="O491" s="33">
        <v>1.084405604890808</v>
      </c>
      <c r="P491" s="33">
        <v>1.2900505369153734</v>
      </c>
    </row>
    <row r="492" spans="8:16" x14ac:dyDescent="0.25">
      <c r="H492" s="33">
        <v>42117</v>
      </c>
      <c r="I492" s="33">
        <v>101.6138</v>
      </c>
      <c r="J492" s="33">
        <v>64.849999999999994</v>
      </c>
      <c r="L492" s="399">
        <v>42116</v>
      </c>
      <c r="M492" s="33">
        <v>1.0264792666068314</v>
      </c>
      <c r="N492" s="33">
        <v>1.0638440788578354</v>
      </c>
      <c r="O492" s="33">
        <v>1.0876819028312754</v>
      </c>
      <c r="P492" s="33">
        <v>1.287203491865994</v>
      </c>
    </row>
    <row r="493" spans="8:16" x14ac:dyDescent="0.25">
      <c r="H493" s="33">
        <v>42116</v>
      </c>
      <c r="I493" s="33">
        <v>100.64190000000001</v>
      </c>
      <c r="J493" s="33">
        <v>62.73</v>
      </c>
      <c r="L493" s="399">
        <v>42115</v>
      </c>
      <c r="M493" s="33">
        <v>1.0213917489054167</v>
      </c>
      <c r="N493" s="33">
        <v>1.0648911931821701</v>
      </c>
      <c r="O493" s="33">
        <v>1.096132934282374</v>
      </c>
      <c r="P493" s="33">
        <v>1.2613724264060777</v>
      </c>
    </row>
    <row r="494" spans="8:16" x14ac:dyDescent="0.25">
      <c r="H494" s="33">
        <v>42115</v>
      </c>
      <c r="I494" s="33">
        <v>100.73909999999999</v>
      </c>
      <c r="J494" s="33">
        <v>62.08</v>
      </c>
      <c r="L494" s="399">
        <v>42114</v>
      </c>
      <c r="M494" s="33">
        <v>1.0228724192539218</v>
      </c>
      <c r="N494" s="33">
        <v>1.0640655025873169</v>
      </c>
      <c r="O494" s="33">
        <v>1.0916573091112936</v>
      </c>
      <c r="P494" s="33">
        <v>1.2440421022496917</v>
      </c>
    </row>
    <row r="495" spans="8:16" x14ac:dyDescent="0.25">
      <c r="H495" s="33">
        <v>42114</v>
      </c>
      <c r="I495" s="33">
        <v>101.16540000000001</v>
      </c>
      <c r="J495" s="33">
        <v>63.45</v>
      </c>
      <c r="L495" s="399">
        <v>42111</v>
      </c>
      <c r="M495" s="33">
        <v>1.0136372738075883</v>
      </c>
      <c r="N495" s="33">
        <v>1.0549088554790114</v>
      </c>
      <c r="O495" s="33">
        <v>1.0771037213284322</v>
      </c>
      <c r="P495" s="33">
        <v>1.2603091056007263</v>
      </c>
    </row>
    <row r="496" spans="8:16" x14ac:dyDescent="0.25">
      <c r="H496" s="33">
        <v>42111</v>
      </c>
      <c r="I496" s="33">
        <v>101.819</v>
      </c>
      <c r="J496" s="33">
        <v>63.45</v>
      </c>
      <c r="L496" s="399">
        <v>42110</v>
      </c>
      <c r="M496" s="33">
        <v>1.0249484914380758</v>
      </c>
      <c r="N496" s="33">
        <v>1.0711392441291103</v>
      </c>
      <c r="O496" s="33">
        <v>1.0985042641553808</v>
      </c>
      <c r="P496" s="33">
        <v>1.2393694261320105</v>
      </c>
    </row>
    <row r="497" spans="8:16" x14ac:dyDescent="0.25">
      <c r="H497" s="33">
        <v>42110</v>
      </c>
      <c r="I497" s="33">
        <v>102.31</v>
      </c>
      <c r="J497" s="33">
        <v>63.98</v>
      </c>
      <c r="L497" s="399">
        <v>42109</v>
      </c>
      <c r="M497" s="33">
        <v>1.0257269860004814</v>
      </c>
      <c r="N497" s="33">
        <v>1.0744554867202654</v>
      </c>
      <c r="O497" s="33">
        <v>1.1072568508304421</v>
      </c>
      <c r="P497" s="33">
        <v>1.209885573850773</v>
      </c>
    </row>
    <row r="498" spans="8:16" x14ac:dyDescent="0.25">
      <c r="H498" s="33">
        <v>42109</v>
      </c>
      <c r="I498" s="33">
        <v>101.44329999999999</v>
      </c>
      <c r="J498" s="33">
        <v>60.32</v>
      </c>
      <c r="L498" s="399">
        <v>42108</v>
      </c>
      <c r="M498" s="33">
        <v>1.0205786922375988</v>
      </c>
      <c r="N498" s="33">
        <v>1.0732013154040394</v>
      </c>
      <c r="O498" s="33">
        <v>1.110704811105411</v>
      </c>
      <c r="P498" s="33">
        <v>1.2210575456820703</v>
      </c>
    </row>
    <row r="499" spans="8:16" x14ac:dyDescent="0.25">
      <c r="H499" s="33">
        <v>42108</v>
      </c>
      <c r="I499" s="33">
        <v>99.669799999999995</v>
      </c>
      <c r="J499" s="33">
        <v>58.43</v>
      </c>
      <c r="L499" s="399">
        <v>42107</v>
      </c>
      <c r="M499" s="33">
        <v>1.0189490080904586</v>
      </c>
      <c r="N499" s="33">
        <v>1.0775661106447165</v>
      </c>
      <c r="O499" s="33">
        <v>1.1125005098943754</v>
      </c>
      <c r="P499" s="33">
        <v>1.2168896884192257</v>
      </c>
    </row>
    <row r="500" spans="8:16" x14ac:dyDescent="0.25">
      <c r="H500" s="33">
        <v>42107</v>
      </c>
      <c r="I500" s="33">
        <v>99.060500000000005</v>
      </c>
      <c r="J500" s="33">
        <v>57.93</v>
      </c>
      <c r="L500" s="399">
        <v>42104</v>
      </c>
      <c r="M500" s="33">
        <v>1.0235302284171857</v>
      </c>
      <c r="N500" s="33">
        <v>1.0753639182650563</v>
      </c>
      <c r="O500" s="33">
        <v>1.1163510263339935</v>
      </c>
      <c r="P500" s="33">
        <v>1.1960129194100779</v>
      </c>
    </row>
    <row r="501" spans="8:16" x14ac:dyDescent="0.25">
      <c r="H501" s="33">
        <v>42104</v>
      </c>
      <c r="I501" s="33">
        <v>99.471400000000003</v>
      </c>
      <c r="J501" s="33">
        <v>57.87</v>
      </c>
      <c r="L501" s="399">
        <v>42103</v>
      </c>
      <c r="M501" s="33">
        <v>1.0183274242587679</v>
      </c>
      <c r="N501" s="33">
        <v>1.0733069675400664</v>
      </c>
      <c r="O501" s="33">
        <v>1.106477053493697</v>
      </c>
      <c r="P501" s="33">
        <v>1.1785328008243185</v>
      </c>
    </row>
    <row r="502" spans="8:16" x14ac:dyDescent="0.25">
      <c r="H502" s="33">
        <v>42103</v>
      </c>
      <c r="I502" s="33">
        <v>98.796999999999997</v>
      </c>
      <c r="J502" s="33">
        <v>56.57</v>
      </c>
      <c r="L502" s="399">
        <v>42102</v>
      </c>
      <c r="M502" s="33">
        <v>1.0138699575216528</v>
      </c>
      <c r="N502" s="33">
        <v>1.0769466586795877</v>
      </c>
      <c r="O502" s="33">
        <v>1.1097361513593182</v>
      </c>
      <c r="P502" s="33">
        <v>1.1878161474250093</v>
      </c>
    </row>
    <row r="503" spans="8:16" x14ac:dyDescent="0.25">
      <c r="H503" s="33">
        <v>42102</v>
      </c>
      <c r="I503" s="33">
        <v>99.224699999999999</v>
      </c>
      <c r="J503" s="33">
        <v>55.55</v>
      </c>
      <c r="L503" s="399">
        <v>42101</v>
      </c>
      <c r="M503" s="33">
        <v>1.0111873396333593</v>
      </c>
      <c r="N503" s="33">
        <v>1.0867980782648567</v>
      </c>
      <c r="O503" s="33">
        <v>1.119894371279111</v>
      </c>
      <c r="P503" s="33">
        <v>1.1802706933104146</v>
      </c>
    </row>
    <row r="504" spans="8:16" x14ac:dyDescent="0.25">
      <c r="H504" s="33">
        <v>42101</v>
      </c>
      <c r="I504" s="33">
        <v>101.3824</v>
      </c>
      <c r="J504" s="33">
        <v>59.1</v>
      </c>
      <c r="L504" s="399">
        <v>42100</v>
      </c>
      <c r="M504" s="33">
        <v>1.0132492250329035</v>
      </c>
      <c r="N504" s="33">
        <v>1.0751153067514707</v>
      </c>
      <c r="O504" s="33">
        <v>1.1095483097838121</v>
      </c>
      <c r="P504" s="33">
        <v>1.1441936024293984</v>
      </c>
    </row>
    <row r="505" spans="8:16" x14ac:dyDescent="0.25">
      <c r="H505" s="33">
        <v>42100</v>
      </c>
      <c r="I505" s="33">
        <v>100.95180000000001</v>
      </c>
      <c r="J505" s="33">
        <v>58.12</v>
      </c>
      <c r="L505" s="399">
        <v>42096</v>
      </c>
      <c r="M505" s="33">
        <v>1.0066404856281741</v>
      </c>
      <c r="N505" s="33">
        <v>1.0751153067514707</v>
      </c>
      <c r="O505" s="33">
        <v>1.1095483097838121</v>
      </c>
      <c r="P505" s="33">
        <v>1.1441936024293984</v>
      </c>
    </row>
    <row r="506" spans="8:16" x14ac:dyDescent="0.25">
      <c r="H506" s="33">
        <v>42096</v>
      </c>
      <c r="I506" s="33">
        <v>99.6875</v>
      </c>
      <c r="J506" s="33">
        <v>54.95</v>
      </c>
      <c r="L506" s="399">
        <v>42095</v>
      </c>
      <c r="M506" s="33">
        <v>1.0031108282525496</v>
      </c>
      <c r="N506" s="33">
        <v>1.0657355937162807</v>
      </c>
      <c r="O506" s="33">
        <v>1.103130337983969</v>
      </c>
      <c r="P506" s="33">
        <v>1.1396909934821142</v>
      </c>
    </row>
    <row r="507" spans="8:16" x14ac:dyDescent="0.25">
      <c r="H507" s="33">
        <v>42095</v>
      </c>
      <c r="I507" s="33">
        <v>99.896299999999997</v>
      </c>
      <c r="J507" s="33">
        <v>57.1</v>
      </c>
      <c r="L507" s="399">
        <v>42094</v>
      </c>
      <c r="M507" s="33">
        <v>1.0070762229302161</v>
      </c>
      <c r="N507" s="33">
        <v>1.0561297225534192</v>
      </c>
      <c r="O507" s="33">
        <v>1.0953264879009526</v>
      </c>
      <c r="P507" s="33">
        <v>1.1232561284698908</v>
      </c>
    </row>
    <row r="508" spans="8:16" x14ac:dyDescent="0.25">
      <c r="H508" s="33">
        <v>42094</v>
      </c>
      <c r="I508" s="33">
        <v>98.123000000000005</v>
      </c>
      <c r="J508" s="33">
        <v>55.11</v>
      </c>
      <c r="L508" s="399">
        <v>42093</v>
      </c>
      <c r="M508" s="33">
        <v>1.0158719511302317</v>
      </c>
      <c r="N508" s="33">
        <v>1.0727234619069819</v>
      </c>
      <c r="O508" s="33">
        <v>1.1136605349177513</v>
      </c>
      <c r="P508" s="33">
        <v>1.1325905732129091</v>
      </c>
    </row>
    <row r="509" spans="8:16" x14ac:dyDescent="0.25">
      <c r="H509" s="33">
        <v>42093</v>
      </c>
      <c r="I509" s="33">
        <v>99.287499999999994</v>
      </c>
      <c r="J509" s="33">
        <v>56.29</v>
      </c>
      <c r="L509" s="399">
        <v>42090</v>
      </c>
      <c r="M509" s="33">
        <v>1.0036352916121292</v>
      </c>
      <c r="N509" s="33">
        <v>1.0670885094209863</v>
      </c>
      <c r="O509" s="33">
        <v>1.1029788218483447</v>
      </c>
      <c r="P509" s="33">
        <v>1.1054026990555323</v>
      </c>
    </row>
    <row r="510" spans="8:16" x14ac:dyDescent="0.25">
      <c r="H510" s="33">
        <v>42090</v>
      </c>
      <c r="I510" s="33">
        <v>99.365200000000002</v>
      </c>
      <c r="J510" s="33">
        <v>56.41</v>
      </c>
      <c r="L510" s="399">
        <v>42089</v>
      </c>
      <c r="M510" s="33">
        <v>1.001266787368762</v>
      </c>
      <c r="N510" s="33">
        <v>1.0613417879963096</v>
      </c>
      <c r="O510" s="33">
        <v>1.0976700468862584</v>
      </c>
      <c r="P510" s="33">
        <v>1.1038938789655237</v>
      </c>
    </row>
    <row r="511" spans="8:16" x14ac:dyDescent="0.25">
      <c r="H511" s="33">
        <v>42089</v>
      </c>
      <c r="I511" s="33">
        <v>101.0461</v>
      </c>
      <c r="J511" s="33">
        <v>59.19</v>
      </c>
      <c r="L511" s="399">
        <v>42088</v>
      </c>
      <c r="M511" s="33">
        <v>1.0036442163491359</v>
      </c>
      <c r="N511" s="33">
        <v>1.0744727880356262</v>
      </c>
      <c r="O511" s="33">
        <v>1.1087758751043064</v>
      </c>
      <c r="P511" s="33">
        <v>1.0980405544713912</v>
      </c>
    </row>
    <row r="512" spans="8:16" x14ac:dyDescent="0.25">
      <c r="H512" s="33">
        <v>42088</v>
      </c>
      <c r="I512" s="33">
        <v>100.3086</v>
      </c>
      <c r="J512" s="33">
        <v>56.48</v>
      </c>
      <c r="L512" s="399">
        <v>42087</v>
      </c>
      <c r="M512" s="33">
        <v>1.0182031453474623</v>
      </c>
      <c r="N512" s="33">
        <v>1.0827215749065147</v>
      </c>
      <c r="O512" s="33">
        <v>1.1160331250899178</v>
      </c>
      <c r="P512" s="33">
        <v>1.1072149533591089</v>
      </c>
    </row>
    <row r="513" spans="8:16" x14ac:dyDescent="0.25">
      <c r="H513" s="33">
        <v>42087</v>
      </c>
      <c r="I513" s="33">
        <v>100.0038</v>
      </c>
      <c r="J513" s="33">
        <v>55.11</v>
      </c>
      <c r="L513" s="399">
        <v>42086</v>
      </c>
      <c r="M513" s="33">
        <v>1.0243426042007329</v>
      </c>
      <c r="N513" s="33">
        <v>1.0750941423117553</v>
      </c>
      <c r="O513" s="33">
        <v>1.1079065866627897</v>
      </c>
      <c r="P513" s="33">
        <v>1.103876869658599</v>
      </c>
    </row>
    <row r="514" spans="8:16" x14ac:dyDescent="0.25">
      <c r="H514" s="33">
        <v>42086</v>
      </c>
      <c r="I514" s="33">
        <v>100.12869999999999</v>
      </c>
      <c r="J514" s="33">
        <v>55.92</v>
      </c>
      <c r="L514" s="399">
        <v>42083</v>
      </c>
      <c r="M514" s="33">
        <v>1.0260882519404033</v>
      </c>
      <c r="N514" s="33">
        <v>1.0745690200367499</v>
      </c>
      <c r="O514" s="33">
        <v>1.112085483375937</v>
      </c>
      <c r="P514" s="33">
        <v>1.0867238060055744</v>
      </c>
    </row>
    <row r="515" spans="8:16" x14ac:dyDescent="0.25">
      <c r="H515" s="33">
        <v>42083</v>
      </c>
      <c r="I515" s="33">
        <v>99.545500000000004</v>
      </c>
      <c r="J515" s="33">
        <v>55.32</v>
      </c>
      <c r="L515" s="399">
        <v>42082</v>
      </c>
      <c r="M515" s="33">
        <v>1.0170755345797944</v>
      </c>
      <c r="N515" s="33">
        <v>1.0392582672262467</v>
      </c>
      <c r="O515" s="33">
        <v>1.0801540683933242</v>
      </c>
      <c r="P515" s="33">
        <v>1.0784051264516759</v>
      </c>
    </row>
    <row r="516" spans="8:16" x14ac:dyDescent="0.25">
      <c r="H516" s="33">
        <v>42082</v>
      </c>
      <c r="I516" s="33">
        <v>97.988200000000006</v>
      </c>
      <c r="J516" s="33">
        <v>54.43</v>
      </c>
      <c r="L516" s="399">
        <v>42081</v>
      </c>
      <c r="M516" s="33">
        <v>1.0219481232913923</v>
      </c>
      <c r="N516" s="33">
        <v>1.0403465397580502</v>
      </c>
      <c r="O516" s="33">
        <v>1.0838004639440229</v>
      </c>
      <c r="P516" s="33">
        <v>1.0715041180251941</v>
      </c>
    </row>
    <row r="517" spans="8:16" x14ac:dyDescent="0.25">
      <c r="H517" s="33">
        <v>42081</v>
      </c>
      <c r="I517" s="33">
        <v>98.186800000000005</v>
      </c>
      <c r="J517" s="33">
        <v>55.91</v>
      </c>
      <c r="L517" s="399">
        <v>42080</v>
      </c>
      <c r="M517" s="33">
        <v>1.0097896875932224</v>
      </c>
      <c r="N517" s="33">
        <v>1.0358688985819766</v>
      </c>
      <c r="O517" s="33">
        <v>1.0832004644242605</v>
      </c>
      <c r="P517" s="33">
        <v>1.0468878925687655</v>
      </c>
    </row>
    <row r="518" spans="8:16" x14ac:dyDescent="0.25">
      <c r="H518" s="33">
        <v>42080</v>
      </c>
      <c r="I518" s="33">
        <v>96.962599999999995</v>
      </c>
      <c r="J518" s="33">
        <v>53.51</v>
      </c>
      <c r="L518" s="399">
        <v>42079</v>
      </c>
      <c r="M518" s="33">
        <v>1.0131099034312765</v>
      </c>
      <c r="N518" s="33">
        <v>1.0447328085825736</v>
      </c>
      <c r="O518" s="33">
        <v>1.0980934305085599</v>
      </c>
      <c r="P518" s="33">
        <v>1.0293179484026722</v>
      </c>
    </row>
    <row r="519" spans="8:16" x14ac:dyDescent="0.25">
      <c r="H519" s="33">
        <v>42079</v>
      </c>
      <c r="I519" s="33">
        <v>97.329899999999995</v>
      </c>
      <c r="J519" s="33">
        <v>53.44</v>
      </c>
      <c r="L519" s="399">
        <v>42076</v>
      </c>
      <c r="M519" s="33">
        <v>0.99957625192645505</v>
      </c>
      <c r="N519" s="33">
        <v>1.0214401767299708</v>
      </c>
      <c r="O519" s="33">
        <v>1.0661850298540059</v>
      </c>
      <c r="P519" s="33">
        <v>1.0069301413701286</v>
      </c>
    </row>
    <row r="520" spans="8:16" x14ac:dyDescent="0.25">
      <c r="H520" s="33">
        <v>42076</v>
      </c>
      <c r="I520" s="33">
        <v>97.577699999999993</v>
      </c>
      <c r="J520" s="33">
        <v>54.67</v>
      </c>
      <c r="L520" s="399">
        <v>42075</v>
      </c>
      <c r="M520" s="33">
        <v>1.0056509391163675</v>
      </c>
      <c r="N520" s="33">
        <v>1.0284244987539775</v>
      </c>
      <c r="O520" s="33">
        <v>1.0686457238720837</v>
      </c>
      <c r="P520" s="33">
        <v>0.99925997008895862</v>
      </c>
    </row>
    <row r="521" spans="8:16" x14ac:dyDescent="0.25">
      <c r="H521" s="33">
        <v>42075</v>
      </c>
      <c r="I521" s="33">
        <v>98.9953</v>
      </c>
      <c r="J521" s="33">
        <v>57.08</v>
      </c>
      <c r="L521" s="399">
        <v>42074</v>
      </c>
      <c r="M521" s="33">
        <v>0.9930494804644443</v>
      </c>
      <c r="N521" s="33">
        <v>1.0233822445881513</v>
      </c>
      <c r="O521" s="33">
        <v>1.0618978466802078</v>
      </c>
      <c r="P521" s="33">
        <v>0.98163715179175082</v>
      </c>
    </row>
    <row r="522" spans="8:16" x14ac:dyDescent="0.25">
      <c r="H522" s="33">
        <v>42074</v>
      </c>
      <c r="I522" s="33">
        <v>99.378100000000003</v>
      </c>
      <c r="J522" s="33">
        <v>57.54</v>
      </c>
      <c r="L522" s="399">
        <v>42073</v>
      </c>
      <c r="M522" s="33">
        <v>0.99496713857339847</v>
      </c>
      <c r="N522" s="33">
        <v>1.0181621421128568</v>
      </c>
      <c r="O522" s="33">
        <v>1.0532331690258792</v>
      </c>
      <c r="P522" s="33">
        <v>0.9808862178483746</v>
      </c>
    </row>
    <row r="523" spans="8:16" x14ac:dyDescent="0.25">
      <c r="H523" s="33">
        <v>42073</v>
      </c>
      <c r="I523" s="33">
        <v>99.135800000000003</v>
      </c>
      <c r="J523" s="33">
        <v>56.39</v>
      </c>
      <c r="L523" s="399">
        <v>42072</v>
      </c>
      <c r="M523" s="33">
        <v>1.0119285174127919</v>
      </c>
      <c r="N523" s="33">
        <v>1.0429095707460982</v>
      </c>
      <c r="O523" s="33">
        <v>1.0731815878574666</v>
      </c>
      <c r="P523" s="33">
        <v>0.98511863788425869</v>
      </c>
    </row>
    <row r="524" spans="8:16" x14ac:dyDescent="0.25">
      <c r="H524" s="33">
        <v>42072</v>
      </c>
      <c r="I524" s="33">
        <v>100.3442</v>
      </c>
      <c r="J524" s="33">
        <v>58.53</v>
      </c>
      <c r="L524" s="399">
        <v>42069</v>
      </c>
      <c r="M524" s="33">
        <v>1.0079840584844106</v>
      </c>
      <c r="N524" s="33">
        <v>1.0445708416626931</v>
      </c>
      <c r="O524" s="33">
        <v>1.0701162035468914</v>
      </c>
      <c r="P524" s="33">
        <v>0.9669136005605492</v>
      </c>
    </row>
    <row r="525" spans="8:16" x14ac:dyDescent="0.25">
      <c r="H525" s="33">
        <v>42069</v>
      </c>
      <c r="I525" s="33">
        <v>100.7694</v>
      </c>
      <c r="J525" s="33">
        <v>59.73</v>
      </c>
      <c r="L525" s="399">
        <v>42068</v>
      </c>
      <c r="M525" s="33">
        <v>1.0221579913938266</v>
      </c>
      <c r="N525" s="33">
        <v>1.0593452577153712</v>
      </c>
      <c r="O525" s="33">
        <v>1.0807075846092555</v>
      </c>
      <c r="P525" s="33">
        <v>0.96775450816339248</v>
      </c>
    </row>
    <row r="526" spans="8:16" x14ac:dyDescent="0.25">
      <c r="H526" s="33">
        <v>42068</v>
      </c>
      <c r="I526" s="33">
        <v>101.6979</v>
      </c>
      <c r="J526" s="33">
        <v>60.48</v>
      </c>
      <c r="L526" s="399">
        <v>42067</v>
      </c>
      <c r="M526" s="33">
        <v>1.0209619160458447</v>
      </c>
      <c r="N526" s="33">
        <v>1.0547487048490192</v>
      </c>
      <c r="O526" s="33">
        <v>1.075839430736663</v>
      </c>
      <c r="P526" s="33">
        <v>0.9767029740617108</v>
      </c>
    </row>
    <row r="527" spans="8:16" x14ac:dyDescent="0.25">
      <c r="H527" s="33">
        <v>42067</v>
      </c>
      <c r="I527" s="33">
        <v>102.05419999999999</v>
      </c>
      <c r="J527" s="33">
        <v>60.55</v>
      </c>
      <c r="L527" s="399">
        <v>42066</v>
      </c>
      <c r="M527" s="33">
        <v>1.025350419589858</v>
      </c>
      <c r="N527" s="33">
        <v>1.0566139908360883</v>
      </c>
      <c r="O527" s="33">
        <v>1.0776252443443681</v>
      </c>
      <c r="P527" s="33">
        <v>0.97128392529319463</v>
      </c>
    </row>
    <row r="528" spans="8:16" x14ac:dyDescent="0.25">
      <c r="H528" s="33">
        <v>42066</v>
      </c>
      <c r="I528" s="33">
        <v>102.09820000000001</v>
      </c>
      <c r="J528" s="33">
        <v>61.02</v>
      </c>
      <c r="L528" s="399">
        <v>42065</v>
      </c>
      <c r="M528" s="33">
        <v>1.0298890260818125</v>
      </c>
      <c r="N528" s="33">
        <v>1.0662704697584329</v>
      </c>
      <c r="O528" s="33">
        <v>1.0869842284294213</v>
      </c>
      <c r="P528" s="33">
        <v>0.99306275468330152</v>
      </c>
    </row>
    <row r="529" spans="8:16" x14ac:dyDescent="0.25">
      <c r="H529" s="33">
        <v>42065</v>
      </c>
      <c r="I529" s="33">
        <v>101.8861</v>
      </c>
      <c r="J529" s="33">
        <v>59.54</v>
      </c>
      <c r="L529" s="399">
        <v>42062</v>
      </c>
      <c r="M529" s="33">
        <v>1.0237640557800782</v>
      </c>
      <c r="N529" s="33">
        <v>1.0699834757408153</v>
      </c>
      <c r="O529" s="33">
        <v>1.0877408580160672</v>
      </c>
      <c r="P529" s="33">
        <v>0.98608120659803422</v>
      </c>
    </row>
    <row r="530" spans="8:16" x14ac:dyDescent="0.25">
      <c r="H530" s="33">
        <v>42062</v>
      </c>
      <c r="I530" s="33">
        <v>103.4379</v>
      </c>
      <c r="J530" s="33">
        <v>62.58</v>
      </c>
      <c r="L530" s="399">
        <v>42061</v>
      </c>
      <c r="M530" s="33">
        <v>1.0267203649417938</v>
      </c>
      <c r="N530" s="33">
        <v>1.0632532752482922</v>
      </c>
      <c r="O530" s="33">
        <v>1.0811664370187892</v>
      </c>
      <c r="P530" s="33">
        <v>0.98407652322770356</v>
      </c>
    </row>
    <row r="531" spans="8:16" x14ac:dyDescent="0.25">
      <c r="H531" s="33">
        <v>42061</v>
      </c>
      <c r="I531" s="33">
        <v>102.1028</v>
      </c>
      <c r="J531" s="33">
        <v>60.05</v>
      </c>
      <c r="L531" s="399">
        <v>42060</v>
      </c>
      <c r="M531" s="33">
        <v>1.0281963378066004</v>
      </c>
      <c r="N531" s="33">
        <v>1.0688140288642503</v>
      </c>
      <c r="O531" s="33">
        <v>1.0856756650113546</v>
      </c>
      <c r="P531" s="33">
        <v>0.96249792004841028</v>
      </c>
    </row>
    <row r="532" spans="8:16" x14ac:dyDescent="0.25">
      <c r="H532" s="33">
        <v>42060</v>
      </c>
      <c r="I532" s="33">
        <v>102.7864</v>
      </c>
      <c r="J532" s="33">
        <v>61.63</v>
      </c>
      <c r="L532" s="399">
        <v>42059</v>
      </c>
      <c r="M532" s="33">
        <v>1.0289621214585374</v>
      </c>
      <c r="N532" s="33">
        <v>1.0679356437763214</v>
      </c>
      <c r="O532" s="33">
        <v>1.0828887153317521</v>
      </c>
      <c r="P532" s="33">
        <v>0.96893475914627225</v>
      </c>
    </row>
    <row r="533" spans="8:16" x14ac:dyDescent="0.25">
      <c r="H533" s="33">
        <v>42059</v>
      </c>
      <c r="I533" s="33">
        <v>101.96639999999999</v>
      </c>
      <c r="J533" s="33">
        <v>58.66</v>
      </c>
      <c r="L533" s="399">
        <v>42058</v>
      </c>
      <c r="M533" s="33">
        <v>1.026203383083633</v>
      </c>
      <c r="N533" s="33">
        <v>1.0597607799327036</v>
      </c>
      <c r="O533" s="33">
        <v>1.075811515802128</v>
      </c>
      <c r="P533" s="33">
        <v>0.96893475914627225</v>
      </c>
    </row>
    <row r="534" spans="8:16" x14ac:dyDescent="0.25">
      <c r="H534" s="33">
        <v>42058</v>
      </c>
      <c r="I534" s="33">
        <v>101.7313</v>
      </c>
      <c r="J534" s="33">
        <v>58.9</v>
      </c>
      <c r="L534" s="399">
        <v>42055</v>
      </c>
      <c r="M534" s="33">
        <v>1.0265066574995929</v>
      </c>
      <c r="N534" s="33">
        <v>1.0568369732444634</v>
      </c>
      <c r="O534" s="33">
        <v>1.0739398143169705</v>
      </c>
      <c r="P534" s="33">
        <v>0.96893475914627225</v>
      </c>
    </row>
    <row r="535" spans="8:16" x14ac:dyDescent="0.25">
      <c r="H535" s="33">
        <v>42055</v>
      </c>
      <c r="I535" s="33">
        <v>102.7283</v>
      </c>
      <c r="J535" s="33">
        <v>60.22</v>
      </c>
      <c r="L535" s="399">
        <v>42054</v>
      </c>
      <c r="M535" s="33">
        <v>1.0203801705749935</v>
      </c>
      <c r="N535" s="33">
        <v>1.0543748088688814</v>
      </c>
      <c r="O535" s="33">
        <v>1.0677470584664515</v>
      </c>
      <c r="P535" s="33">
        <v>0.96893475914627225</v>
      </c>
    </row>
    <row r="536" spans="8:16" x14ac:dyDescent="0.25">
      <c r="H536" s="33">
        <v>42054</v>
      </c>
      <c r="I536" s="33">
        <v>103.22020000000001</v>
      </c>
      <c r="J536" s="33">
        <v>60.21</v>
      </c>
      <c r="L536" s="399">
        <v>42053</v>
      </c>
      <c r="M536" s="33">
        <v>1.0214422371756187</v>
      </c>
      <c r="N536" s="33">
        <v>1.0452844670265646</v>
      </c>
      <c r="O536" s="33">
        <v>1.0613572770849169</v>
      </c>
      <c r="P536" s="33">
        <v>0.96893475914627225</v>
      </c>
    </row>
    <row r="537" spans="8:16" x14ac:dyDescent="0.25">
      <c r="H537" s="33">
        <v>42053</v>
      </c>
      <c r="I537" s="33">
        <v>103.21</v>
      </c>
      <c r="J537" s="33">
        <v>60.53</v>
      </c>
      <c r="L537" s="399">
        <v>42052</v>
      </c>
      <c r="M537" s="33">
        <v>1.0217564720137879</v>
      </c>
      <c r="N537" s="33">
        <v>1.0439481818351077</v>
      </c>
      <c r="O537" s="33">
        <v>1.0619647026454642</v>
      </c>
      <c r="P537" s="33">
        <v>0.96893475914627225</v>
      </c>
    </row>
    <row r="538" spans="8:16" x14ac:dyDescent="0.25">
      <c r="H538" s="33">
        <v>42052</v>
      </c>
      <c r="I538" s="33">
        <v>103.9821</v>
      </c>
      <c r="J538" s="33">
        <v>62.53</v>
      </c>
      <c r="L538" s="399">
        <v>42048</v>
      </c>
      <c r="M538" s="33">
        <v>1.020158944128581</v>
      </c>
      <c r="N538" s="33">
        <v>1.0457279989801291</v>
      </c>
      <c r="O538" s="33">
        <v>1.0672759578999687</v>
      </c>
      <c r="P538" s="33">
        <v>0.9577248079529781</v>
      </c>
    </row>
    <row r="539" spans="8:16" x14ac:dyDescent="0.25">
      <c r="H539" s="33">
        <v>42048</v>
      </c>
      <c r="I539" s="33">
        <v>104.47199999999999</v>
      </c>
      <c r="J539" s="33">
        <v>61.52</v>
      </c>
      <c r="L539" s="399">
        <v>42047</v>
      </c>
      <c r="M539" s="33">
        <v>1.0160842103509058</v>
      </c>
      <c r="N539" s="33">
        <v>1.0351841526214689</v>
      </c>
      <c r="O539" s="33">
        <v>1.0615061475739296</v>
      </c>
      <c r="P539" s="33">
        <v>0.94713882050124676</v>
      </c>
    </row>
    <row r="540" spans="8:16" x14ac:dyDescent="0.25">
      <c r="H540" s="33">
        <v>42047</v>
      </c>
      <c r="I540" s="33">
        <v>103.0098</v>
      </c>
      <c r="J540" s="33">
        <v>57.05</v>
      </c>
      <c r="L540" s="399">
        <v>42046</v>
      </c>
      <c r="M540" s="33">
        <v>1.0064396801773046</v>
      </c>
      <c r="N540" s="33">
        <v>1.0138705730152893</v>
      </c>
      <c r="O540" s="33">
        <v>1.037471394002591</v>
      </c>
      <c r="P540" s="33">
        <v>0.94285467689364988</v>
      </c>
    </row>
    <row r="541" spans="8:16" x14ac:dyDescent="0.25">
      <c r="H541" s="33">
        <v>42046</v>
      </c>
      <c r="I541" s="33">
        <v>101.6249</v>
      </c>
      <c r="J541" s="33">
        <v>54.66</v>
      </c>
      <c r="L541" s="399">
        <v>42045</v>
      </c>
      <c r="M541" s="33">
        <v>1.0064686854417602</v>
      </c>
      <c r="N541" s="33">
        <v>1.0181148752808165</v>
      </c>
      <c r="O541" s="33">
        <v>1.0392222874036525</v>
      </c>
      <c r="P541" s="33">
        <v>0.93783928982185794</v>
      </c>
    </row>
    <row r="542" spans="8:16" x14ac:dyDescent="0.25">
      <c r="H542" s="33">
        <v>42045</v>
      </c>
      <c r="I542" s="33">
        <v>102.1225</v>
      </c>
      <c r="J542" s="33">
        <v>56.43</v>
      </c>
      <c r="L542" s="399">
        <v>42044</v>
      </c>
      <c r="M542" s="33">
        <v>0.99579317218653474</v>
      </c>
      <c r="N542" s="33">
        <v>1.0090630525837909</v>
      </c>
      <c r="O542" s="33">
        <v>1.032265535054318</v>
      </c>
      <c r="P542" s="33">
        <v>0.92204498333344609</v>
      </c>
    </row>
    <row r="543" spans="8:16" x14ac:dyDescent="0.25">
      <c r="H543" s="33">
        <v>42044</v>
      </c>
      <c r="I543" s="33">
        <v>103.56659999999999</v>
      </c>
      <c r="J543" s="33">
        <v>58.34</v>
      </c>
      <c r="L543" s="399">
        <v>42041</v>
      </c>
      <c r="M543" s="33">
        <v>1.0000403759890713</v>
      </c>
      <c r="N543" s="33">
        <v>1.0232884301517626</v>
      </c>
      <c r="O543" s="33">
        <v>1.0485185937502743</v>
      </c>
      <c r="P543" s="33">
        <v>0.91623239490398345</v>
      </c>
    </row>
    <row r="544" spans="8:16" x14ac:dyDescent="0.25">
      <c r="H544" s="33">
        <v>42041</v>
      </c>
      <c r="I544" s="33">
        <v>102.64879999999999</v>
      </c>
      <c r="J544" s="33">
        <v>57.8</v>
      </c>
      <c r="L544" s="399">
        <v>42040</v>
      </c>
      <c r="M544" s="33">
        <v>1.003458524661569</v>
      </c>
      <c r="N544" s="33">
        <v>1.0376862678605718</v>
      </c>
      <c r="O544" s="33">
        <v>1.0651350559311337</v>
      </c>
      <c r="P544" s="33">
        <v>0.93447700456798843</v>
      </c>
    </row>
    <row r="545" spans="8:16" x14ac:dyDescent="0.25">
      <c r="H545" s="33">
        <v>42040</v>
      </c>
      <c r="I545" s="33">
        <v>102.4819</v>
      </c>
      <c r="J545" s="33">
        <v>56.57</v>
      </c>
      <c r="L545" s="399">
        <v>42039</v>
      </c>
      <c r="M545" s="33">
        <v>0.9931671227090928</v>
      </c>
      <c r="N545" s="33">
        <v>1.0364621767810673</v>
      </c>
      <c r="O545" s="33">
        <v>1.0625246729836921</v>
      </c>
      <c r="P545" s="33">
        <v>0.94758584111950594</v>
      </c>
    </row>
    <row r="546" spans="8:16" x14ac:dyDescent="0.25">
      <c r="H546" s="33">
        <v>42039</v>
      </c>
      <c r="I546" s="33">
        <v>101.6108</v>
      </c>
      <c r="J546" s="33">
        <v>54.16</v>
      </c>
      <c r="L546" s="399">
        <v>42038</v>
      </c>
      <c r="M546" s="33">
        <v>0.99732315945001848</v>
      </c>
      <c r="N546" s="33">
        <v>1.0409505446616376</v>
      </c>
      <c r="O546" s="33">
        <v>1.0655453087721254</v>
      </c>
      <c r="P546" s="33">
        <v>0.95444576634845402</v>
      </c>
    </row>
    <row r="547" spans="8:16" x14ac:dyDescent="0.25">
      <c r="H547" s="33">
        <v>42038</v>
      </c>
      <c r="I547" s="33">
        <v>104.0163</v>
      </c>
      <c r="J547" s="33">
        <v>57.91</v>
      </c>
      <c r="L547" s="399">
        <v>42037</v>
      </c>
      <c r="M547" s="33">
        <v>0.98288369090955263</v>
      </c>
      <c r="N547" s="33">
        <v>1.0155378102325492</v>
      </c>
      <c r="O547" s="33">
        <v>1.0474849571791847</v>
      </c>
      <c r="P547" s="33">
        <v>0.93054646300362842</v>
      </c>
    </row>
    <row r="548" spans="8:16" x14ac:dyDescent="0.25">
      <c r="H548" s="33">
        <v>42037</v>
      </c>
      <c r="I548" s="33">
        <v>101.3224</v>
      </c>
      <c r="J548" s="33">
        <v>54.75</v>
      </c>
      <c r="L548" s="399">
        <v>42034</v>
      </c>
      <c r="M548" s="33">
        <v>0.96992121991972313</v>
      </c>
      <c r="N548" s="33">
        <v>1.0059582806999581</v>
      </c>
      <c r="O548" s="33">
        <v>1.0309476100388832</v>
      </c>
      <c r="P548" s="33">
        <v>0.95671568295597265</v>
      </c>
    </row>
    <row r="549" spans="8:16" x14ac:dyDescent="0.25">
      <c r="H549" s="33">
        <v>42034</v>
      </c>
      <c r="I549" s="33">
        <v>100.8413</v>
      </c>
      <c r="J549" s="33">
        <v>52.99</v>
      </c>
      <c r="L549" s="399">
        <v>42033</v>
      </c>
      <c r="M549" s="33">
        <v>0.9829131803402551</v>
      </c>
      <c r="N549" s="33">
        <v>1.0135001463522593</v>
      </c>
      <c r="O549" s="33">
        <v>1.0365009916525336</v>
      </c>
      <c r="P549" s="33">
        <v>0.97372354487527701</v>
      </c>
    </row>
    <row r="550" spans="8:16" x14ac:dyDescent="0.25">
      <c r="H550" s="33">
        <v>42033</v>
      </c>
      <c r="I550" s="33">
        <v>98.762900000000002</v>
      </c>
      <c r="J550" s="33">
        <v>49.13</v>
      </c>
      <c r="L550" s="399">
        <v>42032</v>
      </c>
      <c r="M550" s="33">
        <v>0.97337847781897802</v>
      </c>
      <c r="N550" s="33">
        <v>1.0140007647519642</v>
      </c>
      <c r="O550" s="33">
        <v>1.0383160096129256</v>
      </c>
      <c r="P550" s="33">
        <v>0.98664119085444879</v>
      </c>
    </row>
    <row r="551" spans="8:16" x14ac:dyDescent="0.25">
      <c r="H551" s="33">
        <v>42032</v>
      </c>
      <c r="I551" s="33">
        <v>100.2513</v>
      </c>
      <c r="J551" s="33">
        <v>48.47</v>
      </c>
      <c r="L551" s="399">
        <v>42031</v>
      </c>
      <c r="M551" s="33">
        <v>0.98687408029243251</v>
      </c>
      <c r="N551" s="33">
        <v>1.0179515231618113</v>
      </c>
      <c r="O551" s="33">
        <v>1.0304755360229469</v>
      </c>
      <c r="P551" s="33">
        <v>1.001734763687339</v>
      </c>
    </row>
    <row r="552" spans="8:16" x14ac:dyDescent="0.25">
      <c r="H552" s="33">
        <v>42031</v>
      </c>
      <c r="I552" s="33">
        <v>101.3211</v>
      </c>
      <c r="J552" s="33">
        <v>49.6</v>
      </c>
      <c r="L552" s="399">
        <v>42030</v>
      </c>
      <c r="M552" s="33">
        <v>1.0002619242856463</v>
      </c>
      <c r="N552" s="33">
        <v>1.0237723276149229</v>
      </c>
      <c r="O552" s="33">
        <v>1.0398256626443856</v>
      </c>
      <c r="P552" s="33">
        <v>1.0091910553818049</v>
      </c>
    </row>
    <row r="553" spans="8:16" x14ac:dyDescent="0.25">
      <c r="H553" s="33">
        <v>42030</v>
      </c>
      <c r="I553" s="33">
        <v>100.745</v>
      </c>
      <c r="J553" s="33">
        <v>48.16</v>
      </c>
      <c r="L553" s="399">
        <v>42027</v>
      </c>
      <c r="M553" s="33">
        <v>0.99769347286203214</v>
      </c>
      <c r="N553" s="33">
        <v>1.0121497660923318</v>
      </c>
      <c r="O553" s="33">
        <v>1.0236057152556164</v>
      </c>
      <c r="P553" s="33">
        <v>1.0028373785251379</v>
      </c>
    </row>
    <row r="554" spans="8:16" x14ac:dyDescent="0.25">
      <c r="H554" s="33">
        <v>42027</v>
      </c>
      <c r="I554" s="33">
        <v>101.131</v>
      </c>
      <c r="J554" s="33">
        <v>48.79</v>
      </c>
      <c r="L554" s="399">
        <v>42026</v>
      </c>
      <c r="M554" s="33">
        <v>1.0031850755084708</v>
      </c>
      <c r="N554" s="33">
        <v>1.0055695001764771</v>
      </c>
      <c r="O554" s="33">
        <v>1.0145782545056119</v>
      </c>
      <c r="P554" s="33">
        <v>1.0040510573390038</v>
      </c>
    </row>
    <row r="555" spans="8:16" x14ac:dyDescent="0.25">
      <c r="H555" s="33">
        <v>42026</v>
      </c>
      <c r="I555" s="33">
        <v>101.5883</v>
      </c>
      <c r="J555" s="33">
        <v>48.52</v>
      </c>
      <c r="L555" s="399">
        <v>42025</v>
      </c>
      <c r="M555" s="33">
        <v>0.98791530797505733</v>
      </c>
      <c r="N555" s="33">
        <v>1.0062406396708394</v>
      </c>
      <c r="O555" s="33">
        <v>1.0181426878086945</v>
      </c>
      <c r="P555" s="33">
        <v>0.99801673424013537</v>
      </c>
    </row>
    <row r="556" spans="8:16" x14ac:dyDescent="0.25">
      <c r="H556" s="33">
        <v>42025</v>
      </c>
      <c r="I556" s="33">
        <v>102.5472</v>
      </c>
      <c r="J556" s="33">
        <v>49.03</v>
      </c>
      <c r="L556" s="399">
        <v>42024</v>
      </c>
      <c r="M556" s="33">
        <v>0.98318365733601265</v>
      </c>
      <c r="N556" s="33">
        <v>0.99623888245449632</v>
      </c>
      <c r="O556" s="33">
        <v>1.0116905047365563</v>
      </c>
      <c r="P556" s="33">
        <v>0.94990947231138589</v>
      </c>
    </row>
    <row r="557" spans="8:16" x14ac:dyDescent="0.25">
      <c r="H557" s="33">
        <v>42024</v>
      </c>
      <c r="I557" s="33">
        <v>101.49930000000001</v>
      </c>
      <c r="J557" s="33">
        <v>47.99</v>
      </c>
      <c r="L557" s="399">
        <v>42020</v>
      </c>
      <c r="M557" s="33">
        <v>0.98163370735037336</v>
      </c>
      <c r="N557" s="33">
        <v>0.98291073214154712</v>
      </c>
      <c r="O557" s="33">
        <v>1.002901914816932</v>
      </c>
      <c r="P557" s="33">
        <v>1.0096783542324372</v>
      </c>
    </row>
    <row r="558" spans="8:16" x14ac:dyDescent="0.25">
      <c r="H558" s="33">
        <v>42020</v>
      </c>
      <c r="I558" s="33">
        <v>103.3062</v>
      </c>
      <c r="J558" s="33">
        <v>50.17</v>
      </c>
      <c r="L558" s="399">
        <v>42019</v>
      </c>
      <c r="M558" s="33">
        <v>0.96820950765850267</v>
      </c>
      <c r="N558" s="33">
        <v>0.97332987383442826</v>
      </c>
      <c r="O558" s="33">
        <v>0.99406004937420045</v>
      </c>
      <c r="P558" s="33">
        <v>1.0023825769163128</v>
      </c>
    </row>
    <row r="559" spans="8:16" x14ac:dyDescent="0.25">
      <c r="H559" s="33">
        <v>42019</v>
      </c>
      <c r="I559" s="33">
        <v>101.71769999999999</v>
      </c>
      <c r="J559" s="33">
        <v>47.67</v>
      </c>
      <c r="L559" s="399">
        <v>42018</v>
      </c>
      <c r="M559" s="33">
        <v>0.977457395808776</v>
      </c>
      <c r="N559" s="33">
        <v>0.96763246204521169</v>
      </c>
      <c r="O559" s="33">
        <v>0.98831729771408283</v>
      </c>
      <c r="P559" s="33">
        <v>0.96492501378050544</v>
      </c>
    </row>
    <row r="560" spans="8:16" x14ac:dyDescent="0.25">
      <c r="H560" s="33">
        <v>42018</v>
      </c>
      <c r="I560" s="33">
        <v>102.3496</v>
      </c>
      <c r="J560" s="33">
        <v>48.69</v>
      </c>
      <c r="L560" s="399">
        <v>42017</v>
      </c>
      <c r="M560" s="33">
        <v>0.98327045839311733</v>
      </c>
      <c r="N560" s="33">
        <v>0.98148237273670835</v>
      </c>
      <c r="O560" s="33">
        <v>1.0005314486035672</v>
      </c>
      <c r="P560" s="33">
        <v>0.96833870508923225</v>
      </c>
    </row>
    <row r="561" spans="8:16" x14ac:dyDescent="0.25">
      <c r="H561" s="33">
        <v>42017</v>
      </c>
      <c r="I561" s="33">
        <v>101.29089999999999</v>
      </c>
      <c r="J561" s="33">
        <v>46.59</v>
      </c>
      <c r="L561" s="399">
        <v>42016</v>
      </c>
      <c r="M561" s="33">
        <v>0.98584902327138724</v>
      </c>
      <c r="N561" s="33">
        <v>0.96889708889405202</v>
      </c>
      <c r="O561" s="33">
        <v>0.9877900810983038</v>
      </c>
      <c r="P561" s="33">
        <v>0.96663084573848401</v>
      </c>
    </row>
    <row r="562" spans="8:16" x14ac:dyDescent="0.25">
      <c r="H562" s="33">
        <v>42016</v>
      </c>
      <c r="I562" s="33">
        <v>101.895</v>
      </c>
      <c r="J562" s="33">
        <v>47.43</v>
      </c>
      <c r="L562" s="399">
        <v>42013</v>
      </c>
      <c r="M562" s="33">
        <v>0.99394268478517089</v>
      </c>
      <c r="N562" s="33">
        <v>0.95567378107254175</v>
      </c>
      <c r="O562" s="33">
        <v>0.97430685578781162</v>
      </c>
      <c r="P562" s="33">
        <v>0.98264325180365142</v>
      </c>
    </row>
    <row r="563" spans="8:16" x14ac:dyDescent="0.25">
      <c r="H563" s="33">
        <v>42013</v>
      </c>
      <c r="I563" s="33">
        <v>103.6223</v>
      </c>
      <c r="J563" s="33">
        <v>50.11</v>
      </c>
      <c r="L563" s="399">
        <v>42012</v>
      </c>
      <c r="M563" s="33">
        <v>1.0023465758885877</v>
      </c>
      <c r="N563" s="33">
        <v>0.98400883283792129</v>
      </c>
      <c r="O563" s="33">
        <v>0.99245109323105196</v>
      </c>
      <c r="P563" s="33">
        <v>0.98436271851636015</v>
      </c>
    </row>
    <row r="564" spans="8:16" x14ac:dyDescent="0.25">
      <c r="H564" s="33">
        <v>42012</v>
      </c>
      <c r="I564" s="33">
        <v>103.6365</v>
      </c>
      <c r="J564" s="33">
        <v>50.96</v>
      </c>
      <c r="L564" s="399">
        <v>42011</v>
      </c>
      <c r="M564" s="33">
        <v>0.98445822996825605</v>
      </c>
      <c r="N564" s="33">
        <v>0.94936986123024392</v>
      </c>
      <c r="O564" s="33">
        <v>0.9600268155247913</v>
      </c>
      <c r="P564" s="33">
        <v>1.0083784288166839</v>
      </c>
    </row>
    <row r="565" spans="8:16" x14ac:dyDescent="0.25">
      <c r="H565" s="33">
        <v>42011</v>
      </c>
      <c r="I565" s="33">
        <v>103.5252</v>
      </c>
      <c r="J565" s="33">
        <v>51.15</v>
      </c>
      <c r="L565" s="399">
        <v>42010</v>
      </c>
      <c r="M565" s="33">
        <v>0.97282840688737648</v>
      </c>
      <c r="N565" s="33">
        <v>0.95085829822109824</v>
      </c>
      <c r="O565" s="33">
        <v>0.96265949788778071</v>
      </c>
      <c r="P565" s="33">
        <v>1.0014518446280607</v>
      </c>
    </row>
    <row r="566" spans="8:16" x14ac:dyDescent="0.25">
      <c r="H566" s="33">
        <v>42010</v>
      </c>
      <c r="I566" s="33">
        <v>104.0825</v>
      </c>
      <c r="J566" s="33">
        <v>51.1</v>
      </c>
      <c r="L566" s="399">
        <v>42009</v>
      </c>
      <c r="M566" s="33">
        <v>0.98172189291614043</v>
      </c>
      <c r="N566" s="33">
        <v>0.95597954743737779</v>
      </c>
      <c r="O566" s="33">
        <v>0.9631128027586997</v>
      </c>
      <c r="P566" s="33">
        <v>1</v>
      </c>
    </row>
    <row r="567" spans="8:16" x14ac:dyDescent="0.25">
      <c r="H567" s="33">
        <v>42009</v>
      </c>
      <c r="I567" s="33">
        <v>103.873</v>
      </c>
      <c r="J567" s="33">
        <v>53.11</v>
      </c>
      <c r="L567" s="399">
        <v>42006</v>
      </c>
      <c r="M567" s="33">
        <v>1</v>
      </c>
      <c r="N567" s="33">
        <v>1</v>
      </c>
      <c r="O567" s="33">
        <v>1</v>
      </c>
      <c r="P567" s="33">
        <v>1</v>
      </c>
    </row>
    <row r="568" spans="8:16" x14ac:dyDescent="0.25">
      <c r="H568" s="33">
        <v>42006</v>
      </c>
      <c r="I568" s="33">
        <v>103.8614</v>
      </c>
      <c r="J568" s="33">
        <v>56.42</v>
      </c>
    </row>
    <row r="569" spans="8:16" x14ac:dyDescent="0.25">
      <c r="H569" s="33">
        <v>42004</v>
      </c>
      <c r="I569" s="33">
        <v>104.32850000000001</v>
      </c>
      <c r="J569" s="33">
        <v>57.33</v>
      </c>
    </row>
    <row r="570" spans="8:16" x14ac:dyDescent="0.25">
      <c r="H570" s="33">
        <v>42003</v>
      </c>
      <c r="I570" s="33">
        <v>106.1031</v>
      </c>
      <c r="J570" s="33">
        <v>57.9</v>
      </c>
    </row>
    <row r="571" spans="8:16" x14ac:dyDescent="0.25">
      <c r="H571" s="33">
        <v>42002</v>
      </c>
      <c r="I571" s="33">
        <v>106.113</v>
      </c>
      <c r="J571" s="33">
        <v>57.88</v>
      </c>
    </row>
    <row r="572" spans="8:16" x14ac:dyDescent="0.25">
      <c r="H572" s="33">
        <v>41999</v>
      </c>
      <c r="I572" s="33">
        <v>106.4859</v>
      </c>
      <c r="J572" s="33">
        <v>59.45</v>
      </c>
    </row>
    <row r="573" spans="8:16" x14ac:dyDescent="0.25">
      <c r="H573" s="33">
        <v>41997</v>
      </c>
      <c r="I573" s="33">
        <v>106.1649</v>
      </c>
      <c r="J573" s="33">
        <v>60.24</v>
      </c>
    </row>
    <row r="574" spans="8:16" x14ac:dyDescent="0.25">
      <c r="H574" s="33">
        <v>41996</v>
      </c>
      <c r="I574" s="33">
        <v>107.5993</v>
      </c>
      <c r="J574" s="33">
        <v>61.69</v>
      </c>
    </row>
    <row r="575" spans="8:16" x14ac:dyDescent="0.25">
      <c r="H575" s="33">
        <v>41995</v>
      </c>
      <c r="I575" s="33">
        <v>107.0226</v>
      </c>
      <c r="J575" s="33">
        <v>60.11</v>
      </c>
    </row>
    <row r="576" spans="8:16" x14ac:dyDescent="0.25">
      <c r="H576" s="33">
        <v>41992</v>
      </c>
      <c r="I576" s="33">
        <v>108.66</v>
      </c>
      <c r="J576" s="33">
        <v>61.38</v>
      </c>
    </row>
    <row r="577" spans="8:10" x14ac:dyDescent="0.25">
      <c r="H577" s="33">
        <v>41991</v>
      </c>
      <c r="I577" s="33">
        <v>108.52419999999999</v>
      </c>
      <c r="J577" s="33">
        <v>59.27</v>
      </c>
    </row>
    <row r="578" spans="8:10" x14ac:dyDescent="0.25">
      <c r="H578" s="33">
        <v>41990</v>
      </c>
      <c r="I578" s="33">
        <v>108.8532</v>
      </c>
      <c r="J578" s="33">
        <v>61.18</v>
      </c>
    </row>
    <row r="579" spans="8:10" x14ac:dyDescent="0.25">
      <c r="H579" s="33">
        <v>41989</v>
      </c>
      <c r="I579" s="33">
        <v>108.2629</v>
      </c>
      <c r="J579" s="33">
        <v>59.86</v>
      </c>
    </row>
    <row r="580" spans="8:10" x14ac:dyDescent="0.25">
      <c r="H580" s="33">
        <v>41988</v>
      </c>
      <c r="I580" s="33">
        <v>109.7779</v>
      </c>
      <c r="J580" s="33">
        <v>61.06</v>
      </c>
    </row>
    <row r="581" spans="8:10" x14ac:dyDescent="0.25">
      <c r="H581" s="33">
        <v>41985</v>
      </c>
      <c r="I581" s="33">
        <v>110.7697</v>
      </c>
      <c r="J581" s="33">
        <v>61.85</v>
      </c>
    </row>
    <row r="582" spans="8:10" x14ac:dyDescent="0.25">
      <c r="H582" s="33">
        <v>41984</v>
      </c>
      <c r="I582" s="33">
        <v>110.68210000000001</v>
      </c>
      <c r="J582" s="33">
        <v>63.68</v>
      </c>
    </row>
    <row r="583" spans="8:10" x14ac:dyDescent="0.25">
      <c r="H583" s="33">
        <v>41983</v>
      </c>
      <c r="I583" s="33">
        <v>110.879</v>
      </c>
      <c r="J583" s="33">
        <v>64.239999999999995</v>
      </c>
    </row>
    <row r="584" spans="8:10" x14ac:dyDescent="0.25">
      <c r="H584" s="33">
        <v>41982</v>
      </c>
      <c r="I584" s="33">
        <v>111.9937</v>
      </c>
      <c r="J584" s="33">
        <v>66.84</v>
      </c>
    </row>
    <row r="585" spans="8:10" x14ac:dyDescent="0.25">
      <c r="H585" s="33">
        <v>41981</v>
      </c>
      <c r="I585" s="33">
        <v>110.6721</v>
      </c>
      <c r="J585" s="33">
        <v>66.19</v>
      </c>
    </row>
    <row r="586" spans="8:10" x14ac:dyDescent="0.25">
      <c r="H586" s="33">
        <v>41978</v>
      </c>
      <c r="I586" s="33">
        <v>112.20059999999999</v>
      </c>
      <c r="J586" s="33">
        <v>69.069999999999993</v>
      </c>
    </row>
    <row r="587" spans="8:10" x14ac:dyDescent="0.25">
      <c r="H587" s="33">
        <v>41977</v>
      </c>
      <c r="I587" s="33">
        <v>112.19970000000001</v>
      </c>
      <c r="J587" s="33">
        <v>69.64</v>
      </c>
    </row>
    <row r="588" spans="8:10" x14ac:dyDescent="0.25">
      <c r="H588" s="33">
        <v>41976</v>
      </c>
      <c r="I588" s="33">
        <v>112.16379999999999</v>
      </c>
      <c r="J588" s="33">
        <v>69.92</v>
      </c>
    </row>
    <row r="589" spans="8:10" x14ac:dyDescent="0.25">
      <c r="H589" s="33">
        <v>41975</v>
      </c>
      <c r="I589" s="33">
        <v>112.5138</v>
      </c>
      <c r="J589" s="33">
        <v>70.540000000000006</v>
      </c>
    </row>
    <row r="590" spans="8:10" x14ac:dyDescent="0.25">
      <c r="H590" s="33">
        <v>41974</v>
      </c>
      <c r="I590" s="33">
        <v>114.797</v>
      </c>
      <c r="J590" s="33">
        <v>72.540000000000006</v>
      </c>
    </row>
    <row r="591" spans="8:10" x14ac:dyDescent="0.25">
      <c r="H591" s="33">
        <v>41971</v>
      </c>
      <c r="I591" s="33">
        <v>112.9451</v>
      </c>
      <c r="J591" s="33">
        <v>70.150000000000006</v>
      </c>
    </row>
    <row r="592" spans="8:10" x14ac:dyDescent="0.25">
      <c r="H592" s="33">
        <v>41969</v>
      </c>
      <c r="I592" s="33">
        <v>117.4897</v>
      </c>
      <c r="J592" s="33">
        <v>77.75</v>
      </c>
    </row>
    <row r="593" spans="8:10" x14ac:dyDescent="0.25">
      <c r="H593" s="33">
        <v>41968</v>
      </c>
      <c r="I593" s="33">
        <v>117.69029999999999</v>
      </c>
      <c r="J593" s="33">
        <v>78.33</v>
      </c>
    </row>
    <row r="594" spans="8:10" x14ac:dyDescent="0.25">
      <c r="H594" s="33">
        <v>41967</v>
      </c>
      <c r="I594" s="33">
        <v>117.22450000000001</v>
      </c>
      <c r="J594" s="33">
        <v>79.680000000000007</v>
      </c>
    </row>
    <row r="595" spans="8:10" x14ac:dyDescent="0.25">
      <c r="H595" s="33">
        <v>41964</v>
      </c>
      <c r="I595" s="33">
        <v>118.1138</v>
      </c>
      <c r="J595" s="33">
        <v>80.36</v>
      </c>
    </row>
    <row r="596" spans="8:10" x14ac:dyDescent="0.25">
      <c r="H596" s="33">
        <v>41963</v>
      </c>
      <c r="I596" s="33">
        <v>117.916</v>
      </c>
      <c r="J596" s="33">
        <v>79.33</v>
      </c>
    </row>
    <row r="597" spans="8:10" x14ac:dyDescent="0.25">
      <c r="H597" s="33">
        <v>41962</v>
      </c>
      <c r="I597" s="33">
        <v>117.10250000000001</v>
      </c>
      <c r="J597" s="33">
        <v>78.099999999999994</v>
      </c>
    </row>
    <row r="598" spans="8:10" x14ac:dyDescent="0.25">
      <c r="H598" s="33">
        <v>41961</v>
      </c>
      <c r="I598" s="33">
        <v>116.7847</v>
      </c>
      <c r="J598" s="33">
        <v>78.47</v>
      </c>
    </row>
    <row r="599" spans="8:10" x14ac:dyDescent="0.25">
      <c r="H599" s="33">
        <v>41960</v>
      </c>
      <c r="I599" s="33">
        <v>117.47799999999999</v>
      </c>
      <c r="J599" s="33">
        <v>79.31</v>
      </c>
    </row>
    <row r="600" spans="8:10" x14ac:dyDescent="0.25">
      <c r="H600" s="33">
        <v>41957</v>
      </c>
      <c r="I600" s="33">
        <v>116.87820000000001</v>
      </c>
      <c r="J600" s="33">
        <v>79.41</v>
      </c>
    </row>
    <row r="601" spans="8:10" x14ac:dyDescent="0.25">
      <c r="H601" s="33">
        <v>41956</v>
      </c>
      <c r="I601" s="33">
        <v>115.9414</v>
      </c>
      <c r="J601" s="33">
        <v>77.92</v>
      </c>
    </row>
    <row r="602" spans="8:10" x14ac:dyDescent="0.25">
      <c r="H602" s="33">
        <v>41955</v>
      </c>
      <c r="I602" s="33">
        <v>117.32250000000001</v>
      </c>
      <c r="J602" s="33">
        <v>80.38</v>
      </c>
    </row>
    <row r="603" spans="8:10" x14ac:dyDescent="0.25">
      <c r="H603" s="33">
        <v>41954</v>
      </c>
      <c r="I603" s="33">
        <v>117.5562</v>
      </c>
      <c r="J603" s="33">
        <v>81.67</v>
      </c>
    </row>
    <row r="604" spans="8:10" x14ac:dyDescent="0.25">
      <c r="H604" s="33">
        <v>41953</v>
      </c>
      <c r="I604" s="33">
        <v>116.5363</v>
      </c>
      <c r="J604" s="33">
        <v>82.34</v>
      </c>
    </row>
    <row r="605" spans="8:10" x14ac:dyDescent="0.25">
      <c r="H605" s="33">
        <v>41950</v>
      </c>
      <c r="I605" s="33">
        <v>117.67610000000001</v>
      </c>
      <c r="J605" s="33">
        <v>83.39</v>
      </c>
    </row>
    <row r="606" spans="8:10" x14ac:dyDescent="0.25">
      <c r="H606" s="33">
        <v>41949</v>
      </c>
      <c r="I606" s="33">
        <v>116.99379999999999</v>
      </c>
      <c r="J606" s="33">
        <v>82.86</v>
      </c>
    </row>
    <row r="607" spans="8:10" x14ac:dyDescent="0.25">
      <c r="H607" s="33">
        <v>41948</v>
      </c>
      <c r="I607" s="33">
        <v>116.3039</v>
      </c>
      <c r="J607" s="33">
        <v>82.95</v>
      </c>
    </row>
    <row r="608" spans="8:10" x14ac:dyDescent="0.25">
      <c r="H608" s="33">
        <v>41947</v>
      </c>
      <c r="I608" s="33">
        <v>116.48090000000001</v>
      </c>
      <c r="J608" s="33">
        <v>82.82</v>
      </c>
    </row>
    <row r="609" spans="8:10" x14ac:dyDescent="0.25">
      <c r="H609" s="33">
        <v>41946</v>
      </c>
      <c r="I609" s="33">
        <v>117.7226</v>
      </c>
      <c r="J609" s="33">
        <v>84.78</v>
      </c>
    </row>
    <row r="610" spans="8:10" x14ac:dyDescent="0.25">
      <c r="H610" s="33">
        <v>41943</v>
      </c>
      <c r="I610" s="33">
        <v>117.73650000000001</v>
      </c>
      <c r="J610" s="33">
        <v>85.86</v>
      </c>
    </row>
    <row r="611" spans="8:10" x14ac:dyDescent="0.25">
      <c r="H611" s="33">
        <v>41942</v>
      </c>
      <c r="I611" s="33">
        <v>117.9486</v>
      </c>
      <c r="J611" s="33">
        <v>86.24</v>
      </c>
    </row>
    <row r="612" spans="8:10" x14ac:dyDescent="0.25">
      <c r="H612" s="33">
        <v>41941</v>
      </c>
      <c r="I612" s="33">
        <v>119.0795</v>
      </c>
      <c r="J612" s="33">
        <v>87.12</v>
      </c>
    </row>
    <row r="613" spans="8:10" x14ac:dyDescent="0.25">
      <c r="H613" s="33">
        <v>41940</v>
      </c>
      <c r="I613" s="33">
        <v>117.7636</v>
      </c>
      <c r="J613" s="33">
        <v>86.03</v>
      </c>
    </row>
    <row r="614" spans="8:10" x14ac:dyDescent="0.25">
      <c r="H614" s="33">
        <v>41939</v>
      </c>
      <c r="I614" s="33">
        <v>116.8334</v>
      </c>
      <c r="J614" s="33">
        <v>85.83</v>
      </c>
    </row>
    <row r="615" spans="8:10" x14ac:dyDescent="0.25">
      <c r="H615" s="33">
        <v>41936</v>
      </c>
      <c r="I615" s="33">
        <v>116.5802</v>
      </c>
      <c r="J615" s="33">
        <v>86.13</v>
      </c>
    </row>
    <row r="616" spans="8:10" x14ac:dyDescent="0.25">
      <c r="H616" s="33">
        <v>41935</v>
      </c>
      <c r="I616" s="33">
        <v>117.24039999999999</v>
      </c>
      <c r="J616" s="33">
        <v>86.83</v>
      </c>
    </row>
    <row r="617" spans="8:10" x14ac:dyDescent="0.25">
      <c r="H617" s="33">
        <v>41934</v>
      </c>
      <c r="I617" s="33">
        <v>116.65349999999999</v>
      </c>
      <c r="J617" s="33">
        <v>84.71</v>
      </c>
    </row>
    <row r="618" spans="8:10" x14ac:dyDescent="0.25">
      <c r="H618" s="33">
        <v>41933</v>
      </c>
      <c r="I618" s="33">
        <v>117.46810000000001</v>
      </c>
      <c r="J618" s="33">
        <v>86.22</v>
      </c>
    </row>
    <row r="619" spans="8:10" x14ac:dyDescent="0.25">
      <c r="H619" s="33">
        <v>41932</v>
      </c>
      <c r="I619" s="33">
        <v>116.60590000000001</v>
      </c>
      <c r="J619" s="33">
        <v>85.4</v>
      </c>
    </row>
    <row r="620" spans="8:10" x14ac:dyDescent="0.25">
      <c r="H620" s="33">
        <v>41929</v>
      </c>
      <c r="I620" s="33">
        <v>117.4452</v>
      </c>
      <c r="J620" s="33">
        <v>86.16</v>
      </c>
    </row>
    <row r="621" spans="8:10" x14ac:dyDescent="0.25">
      <c r="H621" s="33">
        <v>41928</v>
      </c>
      <c r="I621" s="33">
        <v>117.54649999999999</v>
      </c>
      <c r="J621" s="33">
        <v>84.47</v>
      </c>
    </row>
    <row r="622" spans="8:10" x14ac:dyDescent="0.25">
      <c r="H622" s="33">
        <v>41927</v>
      </c>
      <c r="I622" s="33">
        <v>116.9992</v>
      </c>
      <c r="J622" s="33">
        <v>83.78</v>
      </c>
    </row>
    <row r="623" spans="8:10" x14ac:dyDescent="0.25">
      <c r="H623" s="33">
        <v>41926</v>
      </c>
      <c r="I623" s="33">
        <v>118.40479999999999</v>
      </c>
      <c r="J623" s="33">
        <v>85.04</v>
      </c>
    </row>
    <row r="624" spans="8:10" x14ac:dyDescent="0.25">
      <c r="H624" s="33">
        <v>41925</v>
      </c>
      <c r="I624" s="33">
        <v>119.0406</v>
      </c>
      <c r="J624" s="33">
        <v>88.89</v>
      </c>
    </row>
    <row r="625" spans="8:10" x14ac:dyDescent="0.25">
      <c r="H625" s="33">
        <v>41922</v>
      </c>
      <c r="I625" s="33">
        <v>118.2045</v>
      </c>
      <c r="J625" s="33">
        <v>90.21</v>
      </c>
    </row>
    <row r="626" spans="8:10" x14ac:dyDescent="0.25">
      <c r="H626" s="33">
        <v>41921</v>
      </c>
      <c r="I626" s="33">
        <v>118.8325</v>
      </c>
      <c r="J626" s="33">
        <v>90.05</v>
      </c>
    </row>
    <row r="627" spans="8:10" x14ac:dyDescent="0.25">
      <c r="H627" s="33">
        <v>41920</v>
      </c>
      <c r="I627" s="33">
        <v>118.8028</v>
      </c>
      <c r="J627" s="33">
        <v>91.38</v>
      </c>
    </row>
    <row r="628" spans="8:10" x14ac:dyDescent="0.25">
      <c r="H628" s="33">
        <v>41919</v>
      </c>
      <c r="I628" s="33">
        <v>119.8569</v>
      </c>
      <c r="J628" s="33">
        <v>92.11</v>
      </c>
    </row>
    <row r="629" spans="8:10" x14ac:dyDescent="0.25">
      <c r="H629" s="33">
        <v>41918</v>
      </c>
      <c r="I629" s="33">
        <v>119.5825</v>
      </c>
      <c r="J629" s="33">
        <v>92.79</v>
      </c>
    </row>
    <row r="630" spans="8:10" x14ac:dyDescent="0.25">
      <c r="H630" s="33">
        <v>41915</v>
      </c>
      <c r="I630" s="33">
        <v>118.01819999999999</v>
      </c>
      <c r="J630" s="33">
        <v>92.31</v>
      </c>
    </row>
    <row r="631" spans="8:10" x14ac:dyDescent="0.25">
      <c r="H631" s="33">
        <v>41914</v>
      </c>
      <c r="I631" s="33">
        <v>118.21729999999999</v>
      </c>
      <c r="J631" s="33">
        <v>93.42</v>
      </c>
    </row>
    <row r="632" spans="8:10" x14ac:dyDescent="0.25">
      <c r="H632" s="33">
        <v>41913</v>
      </c>
      <c r="I632" s="33">
        <v>118.5566</v>
      </c>
      <c r="J632" s="33">
        <v>94.16</v>
      </c>
    </row>
    <row r="633" spans="8:10" x14ac:dyDescent="0.25">
      <c r="H633" s="33">
        <v>41912</v>
      </c>
      <c r="I633" s="33">
        <v>118.6922</v>
      </c>
      <c r="J633" s="33">
        <v>94.67</v>
      </c>
    </row>
    <row r="634" spans="8:10" x14ac:dyDescent="0.25">
      <c r="H634" s="33">
        <v>41911</v>
      </c>
      <c r="I634" s="33">
        <v>120.42449999999999</v>
      </c>
      <c r="J634" s="33">
        <v>97.2</v>
      </c>
    </row>
    <row r="635" spans="8:10" x14ac:dyDescent="0.25">
      <c r="H635" s="33">
        <v>41908</v>
      </c>
      <c r="I635" s="33">
        <v>119.18470000000001</v>
      </c>
      <c r="J635" s="33">
        <v>97</v>
      </c>
    </row>
    <row r="636" spans="8:10" x14ac:dyDescent="0.25">
      <c r="H636" s="33">
        <v>41907</v>
      </c>
      <c r="I636" s="33">
        <v>119.08280000000001</v>
      </c>
      <c r="J636" s="33">
        <v>97</v>
      </c>
    </row>
    <row r="637" spans="8:10" x14ac:dyDescent="0.25">
      <c r="H637" s="33">
        <v>41906</v>
      </c>
      <c r="I637" s="33">
        <v>119.53060000000001</v>
      </c>
      <c r="J637" s="33">
        <v>96.95</v>
      </c>
    </row>
    <row r="638" spans="8:10" x14ac:dyDescent="0.25">
      <c r="H638" s="33">
        <v>41905</v>
      </c>
      <c r="I638" s="33">
        <v>118.6006</v>
      </c>
      <c r="J638" s="33">
        <v>96.85</v>
      </c>
    </row>
    <row r="639" spans="8:10" x14ac:dyDescent="0.25">
      <c r="H639" s="33">
        <v>41904</v>
      </c>
      <c r="I639" s="33">
        <v>118.62520000000001</v>
      </c>
      <c r="J639" s="33">
        <v>96.97</v>
      </c>
    </row>
    <row r="640" spans="8:10" x14ac:dyDescent="0.25">
      <c r="H640" s="33">
        <v>41901</v>
      </c>
      <c r="I640" s="33">
        <v>119.485</v>
      </c>
      <c r="J640" s="33">
        <v>98.39</v>
      </c>
    </row>
    <row r="641" spans="8:10" x14ac:dyDescent="0.25">
      <c r="H641" s="33">
        <v>41900</v>
      </c>
      <c r="I641" s="33">
        <v>120.4843</v>
      </c>
      <c r="J641" s="33">
        <v>97.7</v>
      </c>
    </row>
    <row r="642" spans="8:10" x14ac:dyDescent="0.25">
      <c r="H642" s="33">
        <v>41899</v>
      </c>
      <c r="I642" s="33">
        <v>122.0424</v>
      </c>
      <c r="J642" s="33">
        <v>98.97</v>
      </c>
    </row>
    <row r="643" spans="8:10" x14ac:dyDescent="0.25">
      <c r="H643" s="33">
        <v>41898</v>
      </c>
      <c r="I643" s="33">
        <v>122.2611</v>
      </c>
      <c r="J643" s="33">
        <v>99.05</v>
      </c>
    </row>
    <row r="644" spans="8:10" x14ac:dyDescent="0.25">
      <c r="H644" s="33">
        <v>41897</v>
      </c>
      <c r="I644" s="33">
        <v>121.3571</v>
      </c>
      <c r="J644" s="33">
        <v>96.65</v>
      </c>
    </row>
    <row r="645" spans="8:10" x14ac:dyDescent="0.25">
      <c r="H645" s="33">
        <v>41894</v>
      </c>
      <c r="I645" s="33">
        <v>121.2991</v>
      </c>
      <c r="J645" s="33">
        <v>97.11</v>
      </c>
    </row>
    <row r="646" spans="8:10" x14ac:dyDescent="0.25">
      <c r="H646" s="33">
        <v>41893</v>
      </c>
      <c r="I646" s="33">
        <v>121.6292</v>
      </c>
      <c r="J646" s="33">
        <v>98.08</v>
      </c>
    </row>
    <row r="647" spans="8:10" x14ac:dyDescent="0.25">
      <c r="H647" s="33">
        <v>41892</v>
      </c>
      <c r="I647" s="33">
        <v>122.6383</v>
      </c>
      <c r="J647" s="33">
        <v>98.04</v>
      </c>
    </row>
    <row r="648" spans="8:10" x14ac:dyDescent="0.25">
      <c r="H648" s="33">
        <v>41891</v>
      </c>
      <c r="I648" s="33">
        <v>123.4755</v>
      </c>
      <c r="J648" s="33">
        <v>99.16</v>
      </c>
    </row>
    <row r="649" spans="8:10" x14ac:dyDescent="0.25">
      <c r="H649" s="33">
        <v>41890</v>
      </c>
      <c r="I649" s="33">
        <v>124.2431</v>
      </c>
      <c r="J649" s="33">
        <v>100.2</v>
      </c>
    </row>
    <row r="650" spans="8:10" x14ac:dyDescent="0.25">
      <c r="H650" s="33">
        <v>41887</v>
      </c>
      <c r="I650" s="33">
        <v>124.8522</v>
      </c>
      <c r="J650" s="33">
        <v>100.82</v>
      </c>
    </row>
    <row r="651" spans="8:10" x14ac:dyDescent="0.25">
      <c r="H651" s="33">
        <v>41886</v>
      </c>
      <c r="I651" s="33">
        <v>124.6729</v>
      </c>
      <c r="J651" s="33">
        <v>101.83</v>
      </c>
    </row>
    <row r="652" spans="8:10" x14ac:dyDescent="0.25">
      <c r="H652" s="33">
        <v>41885</v>
      </c>
      <c r="I652" s="33">
        <v>125.1742</v>
      </c>
      <c r="J652" s="33">
        <v>102.77</v>
      </c>
    </row>
    <row r="653" spans="8:10" x14ac:dyDescent="0.25">
      <c r="H653" s="33">
        <v>41884</v>
      </c>
      <c r="I653" s="33">
        <v>125.3004</v>
      </c>
      <c r="J653" s="33">
        <v>100.34</v>
      </c>
    </row>
    <row r="654" spans="8:10" x14ac:dyDescent="0.25">
      <c r="H654" s="33">
        <v>41880</v>
      </c>
      <c r="I654" s="33">
        <v>126.5745</v>
      </c>
      <c r="J654" s="33">
        <v>103.19</v>
      </c>
    </row>
    <row r="655" spans="8:10" x14ac:dyDescent="0.25">
      <c r="H655" s="33">
        <v>41879</v>
      </c>
      <c r="I655" s="33">
        <v>126.3261</v>
      </c>
      <c r="J655" s="33">
        <v>102.46</v>
      </c>
    </row>
    <row r="656" spans="8:10" x14ac:dyDescent="0.25">
      <c r="H656" s="33">
        <v>41878</v>
      </c>
      <c r="I656" s="33">
        <v>126.0103</v>
      </c>
      <c r="J656" s="33">
        <v>102.72</v>
      </c>
    </row>
    <row r="657" spans="8:10" x14ac:dyDescent="0.25">
      <c r="H657" s="33">
        <v>41877</v>
      </c>
      <c r="I657" s="33">
        <v>125.8897</v>
      </c>
      <c r="J657" s="33">
        <v>102.5</v>
      </c>
    </row>
    <row r="658" spans="8:10" x14ac:dyDescent="0.25">
      <c r="H658" s="33">
        <v>41876</v>
      </c>
      <c r="I658" s="33">
        <v>125.4041</v>
      </c>
      <c r="J658" s="33">
        <v>102.65</v>
      </c>
    </row>
    <row r="659" spans="8:10" x14ac:dyDescent="0.25">
      <c r="H659" s="33">
        <v>41873</v>
      </c>
      <c r="I659" s="33">
        <v>125.4217</v>
      </c>
      <c r="J659" s="33">
        <v>102.29</v>
      </c>
    </row>
    <row r="660" spans="8:10" x14ac:dyDescent="0.25">
      <c r="H660" s="33">
        <v>41872</v>
      </c>
      <c r="I660" s="33">
        <v>125.4898</v>
      </c>
      <c r="J660" s="33">
        <v>102.63</v>
      </c>
    </row>
    <row r="661" spans="8:10" x14ac:dyDescent="0.25">
      <c r="H661" s="33">
        <v>41871</v>
      </c>
      <c r="I661" s="33">
        <v>125.2677</v>
      </c>
      <c r="J661" s="33">
        <v>102.28</v>
      </c>
    </row>
    <row r="662" spans="8:10" x14ac:dyDescent="0.25">
      <c r="H662" s="33">
        <v>41870</v>
      </c>
      <c r="I662" s="33">
        <v>124.9821</v>
      </c>
      <c r="J662" s="33">
        <v>101.56</v>
      </c>
    </row>
    <row r="663" spans="8:10" x14ac:dyDescent="0.25">
      <c r="H663" s="33">
        <v>41869</v>
      </c>
      <c r="I663" s="33">
        <v>125.134</v>
      </c>
      <c r="J663" s="33">
        <v>101.6</v>
      </c>
    </row>
    <row r="664" spans="8:10" x14ac:dyDescent="0.25">
      <c r="H664" s="33">
        <v>41866</v>
      </c>
      <c r="I664" s="33">
        <v>125.7131</v>
      </c>
      <c r="J664" s="33">
        <v>103.53</v>
      </c>
    </row>
    <row r="665" spans="8:10" x14ac:dyDescent="0.25">
      <c r="H665" s="33">
        <v>41865</v>
      </c>
      <c r="I665" s="33">
        <v>125.6506</v>
      </c>
      <c r="J665" s="33">
        <v>102.01</v>
      </c>
    </row>
    <row r="666" spans="8:10" x14ac:dyDescent="0.25">
      <c r="H666" s="33">
        <v>41864</v>
      </c>
      <c r="I666" s="33">
        <v>126.2692</v>
      </c>
      <c r="J666" s="33">
        <v>104.28</v>
      </c>
    </row>
    <row r="667" spans="8:10" x14ac:dyDescent="0.25">
      <c r="H667" s="33">
        <v>41863</v>
      </c>
      <c r="I667" s="33">
        <v>126.8747</v>
      </c>
      <c r="J667" s="33">
        <v>103.02</v>
      </c>
    </row>
    <row r="668" spans="8:10" x14ac:dyDescent="0.25">
      <c r="H668" s="33">
        <v>41862</v>
      </c>
      <c r="I668" s="33">
        <v>127.6818</v>
      </c>
      <c r="J668" s="33">
        <v>104.68</v>
      </c>
    </row>
    <row r="669" spans="8:10" x14ac:dyDescent="0.25">
      <c r="H669" s="33">
        <v>41859</v>
      </c>
      <c r="I669" s="33">
        <v>127.3322</v>
      </c>
      <c r="J669" s="33">
        <v>105.02</v>
      </c>
    </row>
    <row r="670" spans="8:10" x14ac:dyDescent="0.25">
      <c r="H670" s="33">
        <v>41858</v>
      </c>
      <c r="I670" s="33">
        <v>127.7319</v>
      </c>
      <c r="J670" s="33">
        <v>105.44</v>
      </c>
    </row>
    <row r="671" spans="8:10" x14ac:dyDescent="0.25">
      <c r="H671" s="33">
        <v>41857</v>
      </c>
      <c r="I671" s="33">
        <v>128.21549999999999</v>
      </c>
      <c r="J671" s="33">
        <v>104.59</v>
      </c>
    </row>
    <row r="672" spans="8:10" x14ac:dyDescent="0.25">
      <c r="H672" s="33">
        <v>41856</v>
      </c>
      <c r="I672" s="33">
        <v>127.2269</v>
      </c>
      <c r="J672" s="33">
        <v>104.61</v>
      </c>
    </row>
    <row r="673" spans="8:10" x14ac:dyDescent="0.25">
      <c r="H673" s="33">
        <v>41855</v>
      </c>
      <c r="I673" s="33">
        <v>127.9139</v>
      </c>
      <c r="J673" s="33">
        <v>105.41</v>
      </c>
    </row>
    <row r="674" spans="8:10" x14ac:dyDescent="0.25">
      <c r="H674" s="33">
        <v>41852</v>
      </c>
      <c r="I674" s="33">
        <v>127.089</v>
      </c>
      <c r="J674" s="33">
        <v>104.84</v>
      </c>
    </row>
    <row r="675" spans="8:10" x14ac:dyDescent="0.25">
      <c r="H675" s="33">
        <v>41851</v>
      </c>
      <c r="I675" s="33">
        <v>127.9143</v>
      </c>
      <c r="J675" s="33">
        <v>106.02</v>
      </c>
    </row>
    <row r="676" spans="8:10" x14ac:dyDescent="0.25">
      <c r="H676" s="33">
        <v>41850</v>
      </c>
      <c r="I676" s="33">
        <v>128.45240000000001</v>
      </c>
      <c r="J676" s="33">
        <v>106.51</v>
      </c>
    </row>
    <row r="677" spans="8:10" x14ac:dyDescent="0.25">
      <c r="H677" s="33">
        <v>41849</v>
      </c>
      <c r="I677" s="33">
        <v>128.62989999999999</v>
      </c>
      <c r="J677" s="33">
        <v>107.72</v>
      </c>
    </row>
    <row r="678" spans="8:10" x14ac:dyDescent="0.25">
      <c r="H678" s="33">
        <v>41848</v>
      </c>
      <c r="I678" s="33">
        <v>129.33860000000001</v>
      </c>
      <c r="J678" s="33">
        <v>107.57</v>
      </c>
    </row>
    <row r="679" spans="8:10" x14ac:dyDescent="0.25">
      <c r="H679" s="33">
        <v>41845</v>
      </c>
      <c r="I679" s="33">
        <v>129.30449999999999</v>
      </c>
      <c r="J679" s="33">
        <v>108.39</v>
      </c>
    </row>
    <row r="680" spans="8:10" x14ac:dyDescent="0.25">
      <c r="H680" s="33">
        <v>41844</v>
      </c>
      <c r="I680" s="33">
        <v>129.04939999999999</v>
      </c>
      <c r="J680" s="33">
        <v>107.07</v>
      </c>
    </row>
    <row r="681" spans="8:10" x14ac:dyDescent="0.25">
      <c r="H681" s="33">
        <v>41843</v>
      </c>
      <c r="I681" s="33">
        <v>129.1567</v>
      </c>
      <c r="J681" s="33">
        <v>108.03</v>
      </c>
    </row>
    <row r="682" spans="8:10" x14ac:dyDescent="0.25">
      <c r="H682" s="33">
        <v>41842</v>
      </c>
      <c r="I682" s="33">
        <v>128.80950000000001</v>
      </c>
      <c r="J682" s="33">
        <v>107.33</v>
      </c>
    </row>
    <row r="683" spans="8:10" x14ac:dyDescent="0.25">
      <c r="H683" s="33">
        <v>41841</v>
      </c>
      <c r="I683" s="33">
        <v>129.37209999999999</v>
      </c>
      <c r="J683" s="33">
        <v>107.68</v>
      </c>
    </row>
    <row r="684" spans="8:10" x14ac:dyDescent="0.25">
      <c r="H684" s="33">
        <v>41838</v>
      </c>
      <c r="I684" s="33">
        <v>129.29159999999999</v>
      </c>
      <c r="J684" s="33">
        <v>107.24</v>
      </c>
    </row>
    <row r="685" spans="8:10" x14ac:dyDescent="0.25">
      <c r="H685" s="33">
        <v>41837</v>
      </c>
      <c r="I685" s="33">
        <v>129.982</v>
      </c>
      <c r="J685" s="33">
        <v>107.89</v>
      </c>
    </row>
    <row r="686" spans="8:10" x14ac:dyDescent="0.25">
      <c r="H686" s="33">
        <v>41836</v>
      </c>
      <c r="I686" s="33">
        <v>129.77099999999999</v>
      </c>
      <c r="J686" s="33">
        <v>105.85</v>
      </c>
    </row>
    <row r="687" spans="8:10" x14ac:dyDescent="0.25">
      <c r="H687" s="33">
        <v>41835</v>
      </c>
      <c r="I687" s="33">
        <v>129.48089999999999</v>
      </c>
      <c r="J687" s="33">
        <v>106.02</v>
      </c>
    </row>
    <row r="688" spans="8:10" x14ac:dyDescent="0.25">
      <c r="H688" s="33">
        <v>41834</v>
      </c>
      <c r="I688" s="33">
        <v>130.167</v>
      </c>
      <c r="J688" s="33">
        <v>106.98</v>
      </c>
    </row>
    <row r="689" spans="8:10" x14ac:dyDescent="0.25">
      <c r="H689" s="33">
        <v>41831</v>
      </c>
      <c r="I689" s="33">
        <v>130.18819999999999</v>
      </c>
      <c r="J689" s="33">
        <v>106.66</v>
      </c>
    </row>
    <row r="690" spans="8:10" x14ac:dyDescent="0.25">
      <c r="H690" s="33">
        <v>41830</v>
      </c>
      <c r="I690" s="33">
        <v>131.1412</v>
      </c>
      <c r="J690" s="33">
        <v>108.67</v>
      </c>
    </row>
    <row r="691" spans="8:10" x14ac:dyDescent="0.25">
      <c r="H691" s="33">
        <v>41829</v>
      </c>
      <c r="I691" s="33">
        <v>131.5479</v>
      </c>
      <c r="J691" s="33">
        <v>108.28</v>
      </c>
    </row>
    <row r="692" spans="8:10" x14ac:dyDescent="0.25">
      <c r="H692" s="33">
        <v>41828</v>
      </c>
      <c r="I692" s="33">
        <v>132.3622</v>
      </c>
      <c r="J692" s="33">
        <v>108.94</v>
      </c>
    </row>
    <row r="693" spans="8:10" x14ac:dyDescent="0.25">
      <c r="H693" s="33">
        <v>41827</v>
      </c>
      <c r="I693" s="33">
        <v>132.66</v>
      </c>
      <c r="J693" s="33">
        <v>110.24</v>
      </c>
    </row>
    <row r="694" spans="8:10" x14ac:dyDescent="0.25">
      <c r="H694" s="33">
        <v>41823</v>
      </c>
      <c r="I694" s="33">
        <v>134.2159</v>
      </c>
      <c r="J694" s="33">
        <v>111</v>
      </c>
    </row>
    <row r="695" spans="8:10" x14ac:dyDescent="0.25">
      <c r="H695" s="33">
        <v>41822</v>
      </c>
      <c r="I695" s="33">
        <v>134.28749999999999</v>
      </c>
      <c r="J695" s="33">
        <v>111.24</v>
      </c>
    </row>
    <row r="696" spans="8:10" x14ac:dyDescent="0.25">
      <c r="H696" s="33">
        <v>41821</v>
      </c>
      <c r="I696" s="33">
        <v>134.23220000000001</v>
      </c>
      <c r="J696" s="33">
        <v>112.29</v>
      </c>
    </row>
    <row r="697" spans="8:10" x14ac:dyDescent="0.25">
      <c r="H697" s="33">
        <v>41820</v>
      </c>
      <c r="I697" s="33">
        <v>134.6268</v>
      </c>
      <c r="J697" s="33">
        <v>112.36</v>
      </c>
    </row>
    <row r="698" spans="8:10" x14ac:dyDescent="0.25">
      <c r="H698" s="33">
        <v>41817</v>
      </c>
      <c r="I698" s="33">
        <v>135.88669999999999</v>
      </c>
      <c r="J698" s="33">
        <v>113.3</v>
      </c>
    </row>
    <row r="699" spans="8:10" x14ac:dyDescent="0.25">
      <c r="H699" s="33">
        <v>41816</v>
      </c>
      <c r="I699" s="33">
        <v>136.3613</v>
      </c>
      <c r="J699" s="33">
        <v>113.21</v>
      </c>
    </row>
    <row r="700" spans="8:10" x14ac:dyDescent="0.25">
      <c r="H700" s="33">
        <v>41815</v>
      </c>
      <c r="I700" s="33">
        <v>136.6259</v>
      </c>
      <c r="J700" s="33">
        <v>114</v>
      </c>
    </row>
    <row r="701" spans="8:10" x14ac:dyDescent="0.25">
      <c r="H701" s="33">
        <v>41814</v>
      </c>
      <c r="I701" s="33">
        <v>136.33930000000001</v>
      </c>
      <c r="J701" s="33">
        <v>114.46</v>
      </c>
    </row>
    <row r="702" spans="8:10" x14ac:dyDescent="0.25">
      <c r="H702" s="33">
        <v>41813</v>
      </c>
      <c r="I702" s="33">
        <v>136.15129999999999</v>
      </c>
      <c r="J702" s="33">
        <v>114.12</v>
      </c>
    </row>
    <row r="703" spans="8:10" x14ac:dyDescent="0.25">
      <c r="H703" s="33">
        <v>41810</v>
      </c>
      <c r="I703" s="33">
        <v>136.55459999999999</v>
      </c>
      <c r="J703" s="33">
        <v>114.81</v>
      </c>
    </row>
    <row r="704" spans="8:10" x14ac:dyDescent="0.25">
      <c r="H704" s="33">
        <v>41809</v>
      </c>
      <c r="I704" s="33">
        <v>136.268</v>
      </c>
      <c r="J704" s="33">
        <v>115.06</v>
      </c>
    </row>
    <row r="705" spans="8:10" x14ac:dyDescent="0.25">
      <c r="H705" s="33">
        <v>41808</v>
      </c>
      <c r="I705" s="33">
        <v>134.8681</v>
      </c>
      <c r="J705" s="33">
        <v>114.26</v>
      </c>
    </row>
    <row r="706" spans="8:10" x14ac:dyDescent="0.25">
      <c r="H706" s="33">
        <v>41807</v>
      </c>
      <c r="I706" s="33">
        <v>134.6609</v>
      </c>
      <c r="J706" s="33">
        <v>113.45</v>
      </c>
    </row>
    <row r="707" spans="8:10" x14ac:dyDescent="0.25">
      <c r="H707" s="33">
        <v>41806</v>
      </c>
      <c r="I707" s="33">
        <v>134.71019999999999</v>
      </c>
      <c r="J707" s="33">
        <v>112.94</v>
      </c>
    </row>
    <row r="708" spans="8:10" x14ac:dyDescent="0.25">
      <c r="H708" s="33">
        <v>41803</v>
      </c>
      <c r="I708" s="33">
        <v>134.77279999999999</v>
      </c>
      <c r="J708" s="33">
        <v>113.41</v>
      </c>
    </row>
    <row r="709" spans="8:10" x14ac:dyDescent="0.25">
      <c r="H709" s="33">
        <v>41802</v>
      </c>
      <c r="I709" s="33">
        <v>134.27680000000001</v>
      </c>
      <c r="J709" s="33">
        <v>113.02</v>
      </c>
    </row>
    <row r="710" spans="8:10" x14ac:dyDescent="0.25">
      <c r="H710" s="33">
        <v>41801</v>
      </c>
      <c r="I710" s="33">
        <v>132.83750000000001</v>
      </c>
      <c r="J710" s="33">
        <v>109.95</v>
      </c>
    </row>
    <row r="711" spans="8:10" x14ac:dyDescent="0.25">
      <c r="H711" s="33">
        <v>41800</v>
      </c>
      <c r="I711" s="33">
        <v>133.2885</v>
      </c>
      <c r="J711" s="33">
        <v>109.52</v>
      </c>
    </row>
    <row r="712" spans="8:10" x14ac:dyDescent="0.25">
      <c r="H712" s="33">
        <v>41799</v>
      </c>
      <c r="I712" s="33">
        <v>133.797</v>
      </c>
      <c r="J712" s="33">
        <v>109.99</v>
      </c>
    </row>
    <row r="713" spans="8:10" x14ac:dyDescent="0.25">
      <c r="H713" s="33">
        <v>41796</v>
      </c>
      <c r="I713" s="33">
        <v>133.7139</v>
      </c>
      <c r="J713" s="33">
        <v>108.61</v>
      </c>
    </row>
    <row r="714" spans="8:10" x14ac:dyDescent="0.25">
      <c r="H714" s="33">
        <v>41795</v>
      </c>
      <c r="I714" s="33">
        <v>133.28649999999999</v>
      </c>
      <c r="J714" s="33">
        <v>108.79</v>
      </c>
    </row>
    <row r="715" spans="8:10" x14ac:dyDescent="0.25">
      <c r="H715" s="33">
        <v>41794</v>
      </c>
      <c r="I715" s="33">
        <v>133.2861</v>
      </c>
      <c r="J715" s="33">
        <v>108.4</v>
      </c>
    </row>
    <row r="716" spans="8:10" x14ac:dyDescent="0.25">
      <c r="H716" s="33">
        <v>41793</v>
      </c>
      <c r="I716" s="33">
        <v>133.58789999999999</v>
      </c>
      <c r="J716" s="33">
        <v>108.82</v>
      </c>
    </row>
    <row r="717" spans="8:10" x14ac:dyDescent="0.25">
      <c r="H717" s="33">
        <v>41792</v>
      </c>
      <c r="I717" s="33">
        <v>133.9812</v>
      </c>
      <c r="J717" s="33">
        <v>108.83</v>
      </c>
    </row>
    <row r="718" spans="8:10" x14ac:dyDescent="0.25">
      <c r="H718" s="33">
        <v>41789</v>
      </c>
      <c r="I718" s="33">
        <v>133.83240000000001</v>
      </c>
      <c r="J718" s="33">
        <v>109.41</v>
      </c>
    </row>
    <row r="719" spans="8:10" x14ac:dyDescent="0.25">
      <c r="H719" s="33">
        <v>41788</v>
      </c>
      <c r="I719" s="33">
        <v>134.74090000000001</v>
      </c>
      <c r="J719" s="33">
        <v>109.97</v>
      </c>
    </row>
    <row r="720" spans="8:10" x14ac:dyDescent="0.25">
      <c r="H720" s="33">
        <v>41787</v>
      </c>
      <c r="I720" s="33">
        <v>134.79490000000001</v>
      </c>
      <c r="J720" s="33">
        <v>109.81</v>
      </c>
    </row>
    <row r="721" spans="8:10" x14ac:dyDescent="0.25">
      <c r="H721" s="33">
        <v>41786</v>
      </c>
      <c r="I721" s="33">
        <v>134.7938</v>
      </c>
      <c r="J721" s="33">
        <v>110.02</v>
      </c>
    </row>
    <row r="722" spans="8:10" x14ac:dyDescent="0.25">
      <c r="H722" s="33">
        <v>41782</v>
      </c>
      <c r="I722" s="33">
        <v>135.71299999999999</v>
      </c>
      <c r="J722" s="33">
        <v>110.54</v>
      </c>
    </row>
    <row r="723" spans="8:10" x14ac:dyDescent="0.25">
      <c r="H723" s="33">
        <v>41781</v>
      </c>
      <c r="I723" s="33">
        <v>135.60120000000001</v>
      </c>
      <c r="J723" s="33">
        <v>110.36</v>
      </c>
    </row>
    <row r="724" spans="8:10" x14ac:dyDescent="0.25">
      <c r="H724" s="33">
        <v>41780</v>
      </c>
      <c r="I724" s="33">
        <v>135.6405</v>
      </c>
      <c r="J724" s="33">
        <v>110.55</v>
      </c>
    </row>
    <row r="725" spans="8:10" x14ac:dyDescent="0.25">
      <c r="H725" s="33">
        <v>41779</v>
      </c>
      <c r="I725" s="33">
        <v>135.60079999999999</v>
      </c>
      <c r="J725" s="33">
        <v>109.69</v>
      </c>
    </row>
    <row r="726" spans="8:10" x14ac:dyDescent="0.25">
      <c r="H726" s="33">
        <v>41778</v>
      </c>
      <c r="I726" s="33">
        <v>135.7201</v>
      </c>
      <c r="J726" s="33">
        <v>109.37</v>
      </c>
    </row>
    <row r="727" spans="8:10" x14ac:dyDescent="0.25">
      <c r="H727" s="33">
        <v>41775</v>
      </c>
      <c r="I727" s="33">
        <v>135.23480000000001</v>
      </c>
      <c r="J727" s="33">
        <v>109.75</v>
      </c>
    </row>
    <row r="728" spans="8:10" x14ac:dyDescent="0.25">
      <c r="H728" s="33">
        <v>41774</v>
      </c>
      <c r="I728" s="33">
        <v>135.79079999999999</v>
      </c>
      <c r="J728" s="33">
        <v>110.44</v>
      </c>
    </row>
    <row r="729" spans="8:10" x14ac:dyDescent="0.25">
      <c r="H729" s="33">
        <v>41773</v>
      </c>
      <c r="I729" s="33">
        <v>136.60919999999999</v>
      </c>
      <c r="J729" s="33">
        <v>110.19</v>
      </c>
    </row>
    <row r="730" spans="8:10" x14ac:dyDescent="0.25">
      <c r="H730" s="33">
        <v>41772</v>
      </c>
      <c r="I730" s="33">
        <v>136.3039</v>
      </c>
      <c r="J730" s="33">
        <v>109.24</v>
      </c>
    </row>
    <row r="731" spans="8:10" x14ac:dyDescent="0.25">
      <c r="H731" s="33">
        <v>41771</v>
      </c>
      <c r="I731" s="33">
        <v>136.0531</v>
      </c>
      <c r="J731" s="33">
        <v>108.41</v>
      </c>
    </row>
    <row r="732" spans="8:10" x14ac:dyDescent="0.25">
      <c r="H732" s="33">
        <v>41768</v>
      </c>
      <c r="I732" s="33">
        <v>135.76179999999999</v>
      </c>
      <c r="J732" s="33">
        <v>107.89</v>
      </c>
    </row>
    <row r="733" spans="8:10" x14ac:dyDescent="0.25">
      <c r="H733" s="33">
        <v>41767</v>
      </c>
      <c r="I733" s="33">
        <v>136.2816</v>
      </c>
      <c r="J733" s="33">
        <v>108.04</v>
      </c>
    </row>
    <row r="734" spans="8:10" x14ac:dyDescent="0.25">
      <c r="H734" s="33">
        <v>41766</v>
      </c>
      <c r="I734" s="33">
        <v>136.58410000000001</v>
      </c>
      <c r="J734" s="33">
        <v>108.13</v>
      </c>
    </row>
    <row r="735" spans="8:10" x14ac:dyDescent="0.25">
      <c r="H735" s="33">
        <v>41765</v>
      </c>
      <c r="I735" s="33">
        <v>137.197</v>
      </c>
      <c r="J735" s="33">
        <v>107.06</v>
      </c>
    </row>
    <row r="736" spans="8:10" x14ac:dyDescent="0.25">
      <c r="H736" s="33">
        <v>41764</v>
      </c>
      <c r="I736" s="33">
        <v>136.8194</v>
      </c>
      <c r="J736" s="33">
        <v>107.72</v>
      </c>
    </row>
    <row r="737" spans="8:10" x14ac:dyDescent="0.25">
      <c r="H737" s="33">
        <v>41761</v>
      </c>
      <c r="I737" s="33">
        <v>136.67500000000001</v>
      </c>
      <c r="J737" s="33">
        <v>108.59</v>
      </c>
    </row>
    <row r="738" spans="8:10" x14ac:dyDescent="0.25">
      <c r="H738" s="33">
        <v>41760</v>
      </c>
      <c r="I738" s="33">
        <v>136.27709999999999</v>
      </c>
      <c r="J738" s="33">
        <v>107.76</v>
      </c>
    </row>
    <row r="739" spans="8:10" x14ac:dyDescent="0.25">
      <c r="H739" s="33">
        <v>41759</v>
      </c>
      <c r="I739" s="33">
        <v>137.79640000000001</v>
      </c>
      <c r="J739" s="33">
        <v>108.07</v>
      </c>
    </row>
    <row r="740" spans="8:10" x14ac:dyDescent="0.25">
      <c r="H740" s="33">
        <v>41758</v>
      </c>
      <c r="I740" s="33">
        <v>138.6677</v>
      </c>
      <c r="J740" s="33">
        <v>108.98</v>
      </c>
    </row>
    <row r="741" spans="8:10" x14ac:dyDescent="0.25">
      <c r="H741" s="33">
        <v>41757</v>
      </c>
      <c r="I741" s="33">
        <v>137.81489999999999</v>
      </c>
      <c r="J741" s="33">
        <v>108.12</v>
      </c>
    </row>
    <row r="742" spans="8:10" x14ac:dyDescent="0.25">
      <c r="H742" s="33">
        <v>41754</v>
      </c>
      <c r="I742" s="33">
        <v>138.04580000000001</v>
      </c>
      <c r="J742" s="33">
        <v>109.58</v>
      </c>
    </row>
    <row r="743" spans="8:10" x14ac:dyDescent="0.25">
      <c r="H743" s="33">
        <v>41753</v>
      </c>
      <c r="I743" s="33">
        <v>138.15190000000001</v>
      </c>
      <c r="J743" s="33">
        <v>110.33</v>
      </c>
    </row>
    <row r="744" spans="8:10" x14ac:dyDescent="0.25">
      <c r="H744" s="33">
        <v>41752</v>
      </c>
      <c r="I744" s="33">
        <v>137.61689999999999</v>
      </c>
      <c r="J744" s="33">
        <v>109.11</v>
      </c>
    </row>
    <row r="745" spans="8:10" x14ac:dyDescent="0.25">
      <c r="H745" s="33">
        <v>41751</v>
      </c>
      <c r="I745" s="33">
        <v>137.3954</v>
      </c>
      <c r="J745" s="33">
        <v>109.27</v>
      </c>
    </row>
    <row r="746" spans="8:10" x14ac:dyDescent="0.25">
      <c r="H746" s="33">
        <v>41750</v>
      </c>
      <c r="I746" s="33">
        <v>136.91210000000001</v>
      </c>
      <c r="J746" s="33">
        <v>109.95</v>
      </c>
    </row>
    <row r="747" spans="8:10" x14ac:dyDescent="0.25">
      <c r="H747" s="33">
        <v>41746</v>
      </c>
      <c r="I747" s="33">
        <v>137.6799</v>
      </c>
      <c r="J747" s="33">
        <v>109.53</v>
      </c>
    </row>
    <row r="748" spans="8:10" x14ac:dyDescent="0.25">
      <c r="H748" s="33">
        <v>41745</v>
      </c>
      <c r="I748" s="33">
        <v>137.06370000000001</v>
      </c>
      <c r="J748" s="33">
        <v>109.6</v>
      </c>
    </row>
    <row r="749" spans="8:10" x14ac:dyDescent="0.25">
      <c r="H749" s="33">
        <v>41744</v>
      </c>
      <c r="I749" s="33">
        <v>136.82140000000001</v>
      </c>
      <c r="J749" s="33">
        <v>108.74</v>
      </c>
    </row>
    <row r="750" spans="8:10" x14ac:dyDescent="0.25">
      <c r="H750" s="33">
        <v>41743</v>
      </c>
      <c r="I750" s="33">
        <v>137.36959999999999</v>
      </c>
      <c r="J750" s="33">
        <v>109.07</v>
      </c>
    </row>
    <row r="751" spans="8:10" x14ac:dyDescent="0.25">
      <c r="H751" s="33">
        <v>41740</v>
      </c>
      <c r="I751" s="33">
        <v>136.4015</v>
      </c>
      <c r="J751" s="33">
        <v>107.33</v>
      </c>
    </row>
    <row r="752" spans="8:10" x14ac:dyDescent="0.25">
      <c r="H752" s="33">
        <v>41739</v>
      </c>
      <c r="I752" s="33">
        <v>136.98410000000001</v>
      </c>
      <c r="J752" s="33">
        <v>107.46</v>
      </c>
    </row>
    <row r="753" spans="8:10" x14ac:dyDescent="0.25">
      <c r="H753" s="33">
        <v>41738</v>
      </c>
      <c r="I753" s="33">
        <v>136.47380000000001</v>
      </c>
      <c r="J753" s="33">
        <v>107.98</v>
      </c>
    </row>
    <row r="754" spans="8:10" x14ac:dyDescent="0.25">
      <c r="H754" s="33">
        <v>41737</v>
      </c>
      <c r="I754" s="33">
        <v>136.03809999999999</v>
      </c>
      <c r="J754" s="33">
        <v>107.67</v>
      </c>
    </row>
    <row r="755" spans="8:10" x14ac:dyDescent="0.25">
      <c r="H755" s="33">
        <v>41736</v>
      </c>
      <c r="I755" s="33">
        <v>134.61340000000001</v>
      </c>
      <c r="J755" s="33">
        <v>105.82</v>
      </c>
    </row>
    <row r="756" spans="8:10" x14ac:dyDescent="0.25">
      <c r="H756" s="33">
        <v>41733</v>
      </c>
      <c r="I756" s="33">
        <v>134.74600000000001</v>
      </c>
      <c r="J756" s="33">
        <v>106.72</v>
      </c>
    </row>
    <row r="757" spans="8:10" x14ac:dyDescent="0.25">
      <c r="H757" s="33">
        <v>41732</v>
      </c>
      <c r="I757" s="33">
        <v>134.28100000000001</v>
      </c>
      <c r="J757" s="33">
        <v>106.15</v>
      </c>
    </row>
    <row r="758" spans="8:10" x14ac:dyDescent="0.25">
      <c r="H758" s="33">
        <v>41731</v>
      </c>
      <c r="I758" s="33">
        <v>133.39619999999999</v>
      </c>
      <c r="J758" s="33">
        <v>104.79</v>
      </c>
    </row>
    <row r="759" spans="8:10" x14ac:dyDescent="0.25">
      <c r="H759" s="33">
        <v>41730</v>
      </c>
      <c r="I759" s="33">
        <v>133.68940000000001</v>
      </c>
      <c r="J759" s="33">
        <v>105.62</v>
      </c>
    </row>
    <row r="760" spans="8:10" x14ac:dyDescent="0.25">
      <c r="H760" s="33">
        <v>41729</v>
      </c>
      <c r="I760" s="33">
        <v>134.52340000000001</v>
      </c>
      <c r="J760" s="33">
        <v>107.76</v>
      </c>
    </row>
    <row r="761" spans="8:10" x14ac:dyDescent="0.25">
      <c r="H761" s="33">
        <v>41726</v>
      </c>
      <c r="I761" s="33">
        <v>134.74520000000001</v>
      </c>
      <c r="J761" s="33">
        <v>108.07</v>
      </c>
    </row>
    <row r="762" spans="8:10" x14ac:dyDescent="0.25">
      <c r="H762" s="33">
        <v>41725</v>
      </c>
      <c r="I762" s="33">
        <v>134.60249999999999</v>
      </c>
      <c r="J762" s="33">
        <v>107.83</v>
      </c>
    </row>
    <row r="763" spans="8:10" x14ac:dyDescent="0.25">
      <c r="H763" s="33">
        <v>41724</v>
      </c>
      <c r="I763" s="33">
        <v>133.44280000000001</v>
      </c>
      <c r="J763" s="33">
        <v>107.03</v>
      </c>
    </row>
    <row r="764" spans="8:10" x14ac:dyDescent="0.25">
      <c r="H764" s="33">
        <v>41723</v>
      </c>
      <c r="I764" s="33">
        <v>133.66329999999999</v>
      </c>
      <c r="J764" s="33">
        <v>106.99</v>
      </c>
    </row>
    <row r="765" spans="8:10" x14ac:dyDescent="0.25">
      <c r="H765" s="33">
        <v>41722</v>
      </c>
      <c r="I765" s="33">
        <v>133.0806</v>
      </c>
      <c r="J765" s="33">
        <v>106.81</v>
      </c>
    </row>
    <row r="766" spans="8:10" x14ac:dyDescent="0.25">
      <c r="H766" s="33">
        <v>41719</v>
      </c>
      <c r="I766" s="33">
        <v>132.94399999999999</v>
      </c>
      <c r="J766" s="33">
        <v>106.92</v>
      </c>
    </row>
    <row r="767" spans="8:10" x14ac:dyDescent="0.25">
      <c r="H767" s="33">
        <v>41718</v>
      </c>
      <c r="I767" s="33">
        <v>133.26769999999999</v>
      </c>
      <c r="J767" s="33">
        <v>106.45</v>
      </c>
    </row>
    <row r="768" spans="8:10" x14ac:dyDescent="0.25">
      <c r="H768" s="33">
        <v>41717</v>
      </c>
      <c r="I768" s="33">
        <v>134.88929999999999</v>
      </c>
      <c r="J768" s="33">
        <v>105.85</v>
      </c>
    </row>
    <row r="769" spans="8:10" x14ac:dyDescent="0.25">
      <c r="H769" s="33">
        <v>41716</v>
      </c>
      <c r="I769" s="33">
        <v>134.74969999999999</v>
      </c>
      <c r="J769" s="33">
        <v>106.79</v>
      </c>
    </row>
    <row r="770" spans="8:10" x14ac:dyDescent="0.25">
      <c r="H770" s="33">
        <v>41715</v>
      </c>
      <c r="I770" s="33">
        <v>134.12469999999999</v>
      </c>
      <c r="J770" s="33">
        <v>106.24</v>
      </c>
    </row>
    <row r="771" spans="8:10" x14ac:dyDescent="0.25">
      <c r="H771" s="33">
        <v>41712</v>
      </c>
      <c r="I771" s="33">
        <v>134.8972</v>
      </c>
      <c r="J771" s="33">
        <v>108.57</v>
      </c>
    </row>
    <row r="772" spans="8:10" x14ac:dyDescent="0.25">
      <c r="H772" s="33">
        <v>41711</v>
      </c>
      <c r="I772" s="33">
        <v>134.5822</v>
      </c>
      <c r="J772" s="33">
        <v>107.39</v>
      </c>
    </row>
    <row r="773" spans="8:10" x14ac:dyDescent="0.25">
      <c r="H773" s="33">
        <v>41710</v>
      </c>
      <c r="I773" s="33">
        <v>135.03229999999999</v>
      </c>
      <c r="J773" s="33">
        <v>108.02</v>
      </c>
    </row>
    <row r="774" spans="8:10" x14ac:dyDescent="0.25">
      <c r="H774" s="33">
        <v>41709</v>
      </c>
      <c r="I774" s="33">
        <v>135.17580000000001</v>
      </c>
      <c r="J774" s="33">
        <v>108.55</v>
      </c>
    </row>
    <row r="775" spans="8:10" x14ac:dyDescent="0.25">
      <c r="H775" s="33">
        <v>41708</v>
      </c>
      <c r="I775" s="33">
        <v>135.37440000000001</v>
      </c>
      <c r="J775" s="33">
        <v>108.08</v>
      </c>
    </row>
    <row r="776" spans="8:10" x14ac:dyDescent="0.25">
      <c r="H776" s="33">
        <v>41705</v>
      </c>
      <c r="I776" s="33">
        <v>136.14250000000001</v>
      </c>
      <c r="J776" s="33">
        <v>109</v>
      </c>
    </row>
    <row r="777" spans="8:10" x14ac:dyDescent="0.25">
      <c r="H777" s="33">
        <v>41704</v>
      </c>
      <c r="I777" s="33">
        <v>136.7646</v>
      </c>
      <c r="J777" s="33">
        <v>108.1</v>
      </c>
    </row>
    <row r="778" spans="8:10" x14ac:dyDescent="0.25">
      <c r="H778" s="33">
        <v>41703</v>
      </c>
      <c r="I778" s="33">
        <v>135.65029999999999</v>
      </c>
      <c r="J778" s="33">
        <v>107.76</v>
      </c>
    </row>
    <row r="779" spans="8:10" x14ac:dyDescent="0.25">
      <c r="H779" s="33">
        <v>41702</v>
      </c>
      <c r="I779" s="33">
        <v>135.97720000000001</v>
      </c>
      <c r="J779" s="33">
        <v>109.3</v>
      </c>
    </row>
    <row r="780" spans="8:10" x14ac:dyDescent="0.25">
      <c r="H780" s="33">
        <v>41701</v>
      </c>
      <c r="I780" s="33">
        <v>135.34450000000001</v>
      </c>
      <c r="J780" s="33">
        <v>111.2</v>
      </c>
    </row>
    <row r="781" spans="8:10" x14ac:dyDescent="0.25">
      <c r="H781" s="33">
        <v>41698</v>
      </c>
      <c r="I781" s="33">
        <v>133.97829999999999</v>
      </c>
      <c r="J781" s="33">
        <v>109.07</v>
      </c>
    </row>
    <row r="782" spans="8:10" x14ac:dyDescent="0.25">
      <c r="H782" s="33">
        <v>41697</v>
      </c>
      <c r="I782" s="33">
        <v>133.33160000000001</v>
      </c>
      <c r="J782" s="33">
        <v>108.96</v>
      </c>
    </row>
    <row r="783" spans="8:10" x14ac:dyDescent="0.25">
      <c r="H783" s="33">
        <v>41696</v>
      </c>
      <c r="I783" s="33">
        <v>133.48140000000001</v>
      </c>
      <c r="J783" s="33">
        <v>109.52</v>
      </c>
    </row>
    <row r="784" spans="8:10" x14ac:dyDescent="0.25">
      <c r="H784" s="33">
        <v>41695</v>
      </c>
      <c r="I784" s="33">
        <v>133.96420000000001</v>
      </c>
      <c r="J784" s="33">
        <v>109.51</v>
      </c>
    </row>
    <row r="785" spans="8:10" x14ac:dyDescent="0.25">
      <c r="H785" s="33">
        <v>41694</v>
      </c>
      <c r="I785" s="33">
        <v>133.89279999999999</v>
      </c>
      <c r="J785" s="33">
        <v>110.64</v>
      </c>
    </row>
    <row r="786" spans="8:10" x14ac:dyDescent="0.25">
      <c r="H786" s="33">
        <v>41691</v>
      </c>
      <c r="I786" s="33">
        <v>133.6884</v>
      </c>
      <c r="J786" s="33">
        <v>109.85</v>
      </c>
    </row>
    <row r="787" spans="8:10" x14ac:dyDescent="0.25">
      <c r="H787" s="33">
        <v>41690</v>
      </c>
      <c r="I787" s="33">
        <v>133.35390000000001</v>
      </c>
      <c r="J787" s="33">
        <v>110.3</v>
      </c>
    </row>
    <row r="788" spans="8:10" x14ac:dyDescent="0.25">
      <c r="H788" s="33">
        <v>41689</v>
      </c>
      <c r="I788" s="33">
        <v>133.71100000000001</v>
      </c>
      <c r="J788" s="33">
        <v>110.47</v>
      </c>
    </row>
    <row r="789" spans="8:10" x14ac:dyDescent="0.25">
      <c r="H789" s="33">
        <v>41688</v>
      </c>
      <c r="I789" s="33">
        <v>132.83539999999999</v>
      </c>
      <c r="J789" s="33">
        <v>110.46</v>
      </c>
    </row>
    <row r="790" spans="8:10" x14ac:dyDescent="0.25">
      <c r="H790" s="33">
        <v>41684</v>
      </c>
      <c r="I790" s="33">
        <v>130.6566</v>
      </c>
      <c r="J790" s="33">
        <v>109.08</v>
      </c>
    </row>
    <row r="791" spans="8:10" x14ac:dyDescent="0.25">
      <c r="H791" s="33">
        <v>41683</v>
      </c>
      <c r="I791" s="33">
        <v>130.08609999999999</v>
      </c>
      <c r="J791" s="33">
        <v>108.73</v>
      </c>
    </row>
    <row r="792" spans="8:10" x14ac:dyDescent="0.25">
      <c r="H792" s="33">
        <v>41682</v>
      </c>
      <c r="I792" s="33">
        <v>129.32859999999999</v>
      </c>
      <c r="J792" s="33">
        <v>108.79</v>
      </c>
    </row>
    <row r="793" spans="8:10" x14ac:dyDescent="0.25">
      <c r="H793" s="33">
        <v>41681</v>
      </c>
      <c r="I793" s="33">
        <v>128.84829999999999</v>
      </c>
      <c r="J793" s="33">
        <v>108.68</v>
      </c>
    </row>
    <row r="794" spans="8:10" x14ac:dyDescent="0.25">
      <c r="H794" s="33">
        <v>41680</v>
      </c>
      <c r="I794" s="33">
        <v>127.90900000000001</v>
      </c>
      <c r="J794" s="33">
        <v>108.63</v>
      </c>
    </row>
    <row r="795" spans="8:10" x14ac:dyDescent="0.25">
      <c r="H795" s="33">
        <v>41677</v>
      </c>
      <c r="I795" s="33">
        <v>128.47970000000001</v>
      </c>
      <c r="J795" s="33">
        <v>109.57</v>
      </c>
    </row>
    <row r="796" spans="8:10" x14ac:dyDescent="0.25">
      <c r="H796" s="33">
        <v>41676</v>
      </c>
      <c r="I796" s="33">
        <v>128.08070000000001</v>
      </c>
      <c r="J796" s="33">
        <v>107.19</v>
      </c>
    </row>
    <row r="797" spans="8:10" x14ac:dyDescent="0.25">
      <c r="H797" s="33">
        <v>41675</v>
      </c>
      <c r="I797" s="33">
        <v>128.0728</v>
      </c>
      <c r="J797" s="33">
        <v>106.25</v>
      </c>
    </row>
    <row r="798" spans="8:10" x14ac:dyDescent="0.25">
      <c r="H798" s="33">
        <v>41674</v>
      </c>
      <c r="I798" s="33">
        <v>128.33949999999999</v>
      </c>
      <c r="J798" s="33">
        <v>105.78</v>
      </c>
    </row>
    <row r="799" spans="8:10" x14ac:dyDescent="0.25">
      <c r="H799" s="33">
        <v>41673</v>
      </c>
      <c r="I799" s="33">
        <v>126.402</v>
      </c>
      <c r="J799" s="33">
        <v>106.04</v>
      </c>
    </row>
    <row r="800" spans="8:10" x14ac:dyDescent="0.25">
      <c r="H800" s="33">
        <v>41670</v>
      </c>
      <c r="I800" s="33">
        <v>126.1206</v>
      </c>
      <c r="J800" s="33">
        <v>106.4</v>
      </c>
    </row>
    <row r="801" spans="8:10" x14ac:dyDescent="0.25">
      <c r="H801" s="33">
        <v>41669</v>
      </c>
      <c r="I801" s="33">
        <v>126.3308</v>
      </c>
      <c r="J801" s="33">
        <v>107.95</v>
      </c>
    </row>
    <row r="802" spans="8:10" x14ac:dyDescent="0.25">
      <c r="H802" s="33">
        <v>41668</v>
      </c>
      <c r="I802" s="33">
        <v>127.5899</v>
      </c>
      <c r="J802" s="33">
        <v>107.85</v>
      </c>
    </row>
    <row r="803" spans="8:10" x14ac:dyDescent="0.25">
      <c r="H803" s="33">
        <v>41667</v>
      </c>
      <c r="I803" s="33">
        <v>126.38379999999999</v>
      </c>
      <c r="J803" s="33">
        <v>107.41</v>
      </c>
    </row>
    <row r="804" spans="8:10" x14ac:dyDescent="0.25">
      <c r="H804" s="33">
        <v>41666</v>
      </c>
      <c r="I804" s="33">
        <v>125.51390000000001</v>
      </c>
      <c r="J804" s="33">
        <v>106.69</v>
      </c>
    </row>
    <row r="805" spans="8:10" x14ac:dyDescent="0.25">
      <c r="H805" s="33">
        <v>41663</v>
      </c>
      <c r="I805" s="33">
        <v>127.00149999999999</v>
      </c>
      <c r="J805" s="33">
        <v>107.88</v>
      </c>
    </row>
    <row r="806" spans="8:10" x14ac:dyDescent="0.25">
      <c r="H806" s="33">
        <v>41662</v>
      </c>
      <c r="I806" s="33">
        <v>125.9735</v>
      </c>
      <c r="J806" s="33">
        <v>107.58</v>
      </c>
    </row>
    <row r="807" spans="8:10" x14ac:dyDescent="0.25">
      <c r="H807" s="33">
        <v>41661</v>
      </c>
      <c r="I807" s="33">
        <v>125.7739</v>
      </c>
      <c r="J807" s="33">
        <v>108.27</v>
      </c>
    </row>
    <row r="808" spans="8:10" x14ac:dyDescent="0.25">
      <c r="H808" s="33">
        <v>41660</v>
      </c>
      <c r="I808" s="33">
        <v>124.95099999999999</v>
      </c>
      <c r="J808" s="33">
        <v>106.73</v>
      </c>
    </row>
    <row r="809" spans="8:10" x14ac:dyDescent="0.25">
      <c r="H809" s="33">
        <v>41656</v>
      </c>
      <c r="I809" s="33">
        <v>125.1627</v>
      </c>
      <c r="J809" s="33">
        <v>106.48</v>
      </c>
    </row>
    <row r="810" spans="8:10" x14ac:dyDescent="0.25">
      <c r="H810" s="33">
        <v>41655</v>
      </c>
      <c r="I810" s="33">
        <v>125.1452</v>
      </c>
      <c r="J810" s="33">
        <v>107.09</v>
      </c>
    </row>
    <row r="811" spans="8:10" x14ac:dyDescent="0.25">
      <c r="H811" s="33">
        <v>41654</v>
      </c>
      <c r="I811" s="33">
        <v>124.908</v>
      </c>
      <c r="J811" s="33">
        <v>107.13</v>
      </c>
    </row>
    <row r="812" spans="8:10" x14ac:dyDescent="0.25">
      <c r="H812" s="33">
        <v>41653</v>
      </c>
      <c r="I812" s="33">
        <v>124.7998</v>
      </c>
      <c r="J812" s="33">
        <v>106.39</v>
      </c>
    </row>
    <row r="813" spans="8:10" x14ac:dyDescent="0.25">
      <c r="H813" s="33">
        <v>41652</v>
      </c>
      <c r="I813" s="33">
        <v>124.51609999999999</v>
      </c>
      <c r="J813" s="33">
        <v>106.75</v>
      </c>
    </row>
    <row r="814" spans="8:10" x14ac:dyDescent="0.25">
      <c r="H814" s="33">
        <v>41649</v>
      </c>
      <c r="I814" s="33">
        <v>123.6354</v>
      </c>
      <c r="J814" s="33">
        <v>107.25</v>
      </c>
    </row>
    <row r="815" spans="8:10" x14ac:dyDescent="0.25">
      <c r="H815" s="33">
        <v>41648</v>
      </c>
      <c r="I815" s="33">
        <v>122.32680000000001</v>
      </c>
      <c r="J815" s="33">
        <v>106.39</v>
      </c>
    </row>
    <row r="816" spans="8:10" x14ac:dyDescent="0.25">
      <c r="H816" s="33">
        <v>41647</v>
      </c>
      <c r="I816" s="33">
        <v>123.68049999999999</v>
      </c>
      <c r="J816" s="33">
        <v>107.15</v>
      </c>
    </row>
    <row r="817" spans="8:10" x14ac:dyDescent="0.25">
      <c r="H817" s="33">
        <v>41646</v>
      </c>
      <c r="I817" s="33">
        <v>124.8693</v>
      </c>
      <c r="J817" s="33">
        <v>107.35</v>
      </c>
    </row>
    <row r="818" spans="8:10" x14ac:dyDescent="0.25">
      <c r="H818" s="33">
        <v>41645</v>
      </c>
      <c r="I818" s="33">
        <v>125.05500000000001</v>
      </c>
      <c r="J818" s="33">
        <v>106.73</v>
      </c>
    </row>
    <row r="819" spans="8:10" x14ac:dyDescent="0.25">
      <c r="H819" s="33">
        <v>41642</v>
      </c>
      <c r="I819" s="33">
        <v>124.9074</v>
      </c>
      <c r="J819" s="33">
        <v>106.89</v>
      </c>
    </row>
    <row r="820" spans="8:10" x14ac:dyDescent="0.25">
      <c r="H820" s="33">
        <v>41641</v>
      </c>
      <c r="I820" s="33">
        <v>125.4024</v>
      </c>
      <c r="J820" s="33">
        <v>107.78</v>
      </c>
    </row>
    <row r="821" spans="8:10" x14ac:dyDescent="0.25">
      <c r="H821" s="33">
        <v>41639</v>
      </c>
      <c r="I821" s="33">
        <v>125.75149999999999</v>
      </c>
      <c r="J821" s="33">
        <v>110.8</v>
      </c>
    </row>
  </sheetData>
  <mergeCells count="8">
    <mergeCell ref="B36:C36"/>
    <mergeCell ref="E36:F36"/>
    <mergeCell ref="E3:F3"/>
    <mergeCell ref="A3:C3"/>
    <mergeCell ref="A22:C22"/>
    <mergeCell ref="E22:F22"/>
    <mergeCell ref="B17:C17"/>
    <mergeCell ref="E17:F17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1"/>
  <dimension ref="A4:G17"/>
  <sheetViews>
    <sheetView showGridLines="0" zoomScale="85" zoomScaleNormal="85" workbookViewId="0">
      <selection activeCell="E16" sqref="E16"/>
    </sheetView>
  </sheetViews>
  <sheetFormatPr defaultRowHeight="13.5" x14ac:dyDescent="0.25"/>
  <cols>
    <col min="1" max="1" width="23" style="40" bestFit="1" customWidth="1"/>
    <col min="2" max="2" width="15.28515625" style="40" bestFit="1" customWidth="1"/>
    <col min="3" max="3" width="19.85546875" style="40" bestFit="1" customWidth="1"/>
    <col min="4" max="4" width="9.140625" style="40"/>
    <col min="5" max="5" width="19.28515625" style="40" bestFit="1" customWidth="1"/>
    <col min="6" max="6" width="9.140625" style="40"/>
    <col min="7" max="7" width="12.28515625" style="40" bestFit="1" customWidth="1"/>
    <col min="8" max="16384" width="9.140625" style="40"/>
  </cols>
  <sheetData>
    <row r="4" spans="1:7" ht="14.25" thickBot="1" x14ac:dyDescent="0.3">
      <c r="A4" s="896" t="s">
        <v>1087</v>
      </c>
      <c r="B4" s="896"/>
      <c r="C4" s="896"/>
      <c r="D4" s="896"/>
      <c r="E4" s="896"/>
      <c r="F4" s="896"/>
      <c r="G4" s="896"/>
    </row>
    <row r="5" spans="1:7" ht="15.75" thickBot="1" x14ac:dyDescent="0.3">
      <c r="A5" s="180"/>
      <c r="B5" s="180" t="s">
        <v>301</v>
      </c>
      <c r="C5" s="180" t="s">
        <v>302</v>
      </c>
      <c r="D5" s="180" t="s">
        <v>119</v>
      </c>
      <c r="E5" s="180" t="s">
        <v>303</v>
      </c>
      <c r="F5" s="180" t="s">
        <v>120</v>
      </c>
      <c r="G5" s="5" t="s">
        <v>304</v>
      </c>
    </row>
    <row r="6" spans="1:7" x14ac:dyDescent="0.25">
      <c r="A6" s="19" t="s">
        <v>757</v>
      </c>
      <c r="B6" s="181">
        <v>2017</v>
      </c>
      <c r="C6" s="181">
        <v>0.3</v>
      </c>
      <c r="D6" s="181">
        <v>51.8</v>
      </c>
      <c r="E6" s="181" t="s">
        <v>761</v>
      </c>
      <c r="F6" s="181">
        <v>60</v>
      </c>
      <c r="G6" s="181">
        <v>2030</v>
      </c>
    </row>
    <row r="7" spans="1:7" x14ac:dyDescent="0.25">
      <c r="A7" s="19" t="s">
        <v>121</v>
      </c>
      <c r="B7" s="181">
        <v>2019</v>
      </c>
      <c r="C7" s="181">
        <v>0.9</v>
      </c>
      <c r="D7" s="181">
        <v>48</v>
      </c>
      <c r="E7" s="181">
        <v>2020</v>
      </c>
      <c r="F7" s="181">
        <v>60</v>
      </c>
      <c r="G7" s="181">
        <v>2030</v>
      </c>
    </row>
    <row r="8" spans="1:7" ht="14.25" thickBot="1" x14ac:dyDescent="0.3">
      <c r="A8" s="7" t="s">
        <v>758</v>
      </c>
      <c r="B8" s="182">
        <v>2017</v>
      </c>
      <c r="C8" s="182">
        <v>0.3</v>
      </c>
      <c r="D8" s="182">
        <v>51.8</v>
      </c>
      <c r="E8" s="182" t="s">
        <v>761</v>
      </c>
      <c r="F8" s="182">
        <v>47</v>
      </c>
      <c r="G8" s="182">
        <v>2030</v>
      </c>
    </row>
    <row r="9" spans="1:7" x14ac:dyDescent="0.25">
      <c r="A9" s="899" t="s">
        <v>21</v>
      </c>
      <c r="B9" s="899"/>
      <c r="C9" s="899"/>
      <c r="D9" s="899"/>
      <c r="E9" s="899"/>
      <c r="F9" s="899"/>
      <c r="G9" s="899"/>
    </row>
    <row r="12" spans="1:7" ht="14.25" thickBot="1" x14ac:dyDescent="0.3">
      <c r="A12" s="896" t="s">
        <v>1088</v>
      </c>
      <c r="B12" s="896"/>
      <c r="C12" s="896"/>
      <c r="D12" s="896"/>
      <c r="E12" s="896"/>
      <c r="F12" s="896"/>
      <c r="G12" s="896"/>
    </row>
    <row r="13" spans="1:7" ht="15.75" thickBot="1" x14ac:dyDescent="0.3">
      <c r="A13" s="180"/>
      <c r="B13" s="180" t="s">
        <v>549</v>
      </c>
      <c r="C13" s="180" t="s">
        <v>550</v>
      </c>
      <c r="D13" s="180" t="s">
        <v>551</v>
      </c>
      <c r="E13" s="180" t="s">
        <v>592</v>
      </c>
      <c r="F13" s="180" t="s">
        <v>552</v>
      </c>
      <c r="G13" s="5" t="s">
        <v>593</v>
      </c>
    </row>
    <row r="14" spans="1:7" x14ac:dyDescent="0.25">
      <c r="A14" s="19" t="s">
        <v>759</v>
      </c>
      <c r="B14" s="181">
        <f>B6</f>
        <v>2017</v>
      </c>
      <c r="C14" s="181">
        <f t="shared" ref="C14:G14" si="0">C6</f>
        <v>0.3</v>
      </c>
      <c r="D14" s="181">
        <f t="shared" si="0"/>
        <v>51.8</v>
      </c>
      <c r="E14" s="181" t="str">
        <f t="shared" si="0"/>
        <v>2018 - 2020</v>
      </c>
      <c r="F14" s="181">
        <f t="shared" si="0"/>
        <v>60</v>
      </c>
      <c r="G14" s="185">
        <f t="shared" si="0"/>
        <v>2030</v>
      </c>
    </row>
    <row r="15" spans="1:7" x14ac:dyDescent="0.25">
      <c r="A15" s="19" t="s">
        <v>553</v>
      </c>
      <c r="B15" s="181">
        <f t="shared" ref="B15:G15" si="1">B7</f>
        <v>2019</v>
      </c>
      <c r="C15" s="181">
        <f t="shared" si="1"/>
        <v>0.9</v>
      </c>
      <c r="D15" s="181">
        <f t="shared" si="1"/>
        <v>48</v>
      </c>
      <c r="E15" s="181">
        <f t="shared" si="1"/>
        <v>2020</v>
      </c>
      <c r="F15" s="181">
        <f t="shared" si="1"/>
        <v>60</v>
      </c>
      <c r="G15" s="19">
        <f t="shared" si="1"/>
        <v>2030</v>
      </c>
    </row>
    <row r="16" spans="1:7" ht="14.25" thickBot="1" x14ac:dyDescent="0.3">
      <c r="A16" s="7" t="s">
        <v>760</v>
      </c>
      <c r="B16" s="182">
        <f t="shared" ref="B16:G16" si="2">B8</f>
        <v>2017</v>
      </c>
      <c r="C16" s="182">
        <f t="shared" si="2"/>
        <v>0.3</v>
      </c>
      <c r="D16" s="182">
        <f t="shared" si="2"/>
        <v>51.8</v>
      </c>
      <c r="E16" s="182" t="str">
        <f t="shared" si="2"/>
        <v>2018 - 2020</v>
      </c>
      <c r="F16" s="182">
        <f t="shared" si="2"/>
        <v>47</v>
      </c>
      <c r="G16" s="7">
        <f t="shared" si="2"/>
        <v>2030</v>
      </c>
    </row>
    <row r="17" spans="1:7" x14ac:dyDescent="0.25">
      <c r="A17" s="899" t="s">
        <v>345</v>
      </c>
      <c r="B17" s="899"/>
      <c r="C17" s="899"/>
      <c r="D17" s="899"/>
      <c r="E17" s="899"/>
      <c r="F17" s="899"/>
      <c r="G17" s="899"/>
    </row>
  </sheetData>
  <mergeCells count="4">
    <mergeCell ref="A4:G4"/>
    <mergeCell ref="A9:G9"/>
    <mergeCell ref="A12:G12"/>
    <mergeCell ref="A17:G1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2"/>
  <dimension ref="A3:I38"/>
  <sheetViews>
    <sheetView showGridLines="0" zoomScale="85" zoomScaleNormal="85" workbookViewId="0">
      <selection activeCell="C27" sqref="C27"/>
    </sheetView>
  </sheetViews>
  <sheetFormatPr defaultRowHeight="13.5" x14ac:dyDescent="0.25"/>
  <cols>
    <col min="1" max="1" width="36.140625" style="40" customWidth="1"/>
    <col min="2" max="2" width="16" style="40" customWidth="1"/>
    <col min="3" max="3" width="17.140625" style="40" customWidth="1"/>
    <col min="4" max="4" width="21.140625" style="40" customWidth="1"/>
    <col min="5" max="16384" width="9.140625" style="40"/>
  </cols>
  <sheetData>
    <row r="3" spans="1:9" ht="14.25" thickBot="1" x14ac:dyDescent="0.3">
      <c r="A3" s="896" t="s">
        <v>1089</v>
      </c>
      <c r="B3" s="896"/>
      <c r="C3" s="896"/>
      <c r="D3" s="896"/>
    </row>
    <row r="4" spans="1:9" ht="14.25" thickBot="1" x14ac:dyDescent="0.3">
      <c r="A4" s="7"/>
      <c r="B4" s="486" t="s">
        <v>757</v>
      </c>
      <c r="C4" s="180" t="s">
        <v>305</v>
      </c>
      <c r="D4" s="180" t="s">
        <v>758</v>
      </c>
    </row>
    <row r="5" spans="1:9" ht="14.25" thickBot="1" x14ac:dyDescent="0.3">
      <c r="A5" s="7" t="s">
        <v>287</v>
      </c>
      <c r="B5" s="180" t="s">
        <v>1583</v>
      </c>
      <c r="C5" s="180" t="s">
        <v>1584</v>
      </c>
      <c r="D5" s="180" t="s">
        <v>1585</v>
      </c>
    </row>
    <row r="6" spans="1:9" x14ac:dyDescent="0.25">
      <c r="A6" s="6" t="s">
        <v>306</v>
      </c>
      <c r="B6" s="111"/>
      <c r="C6" s="111"/>
      <c r="D6" s="111"/>
    </row>
    <row r="7" spans="1:9" x14ac:dyDescent="0.25">
      <c r="A7" s="6" t="s">
        <v>307</v>
      </c>
      <c r="B7" s="110" t="s">
        <v>1563</v>
      </c>
      <c r="C7" s="110" t="s">
        <v>1562</v>
      </c>
      <c r="D7" s="110" t="s">
        <v>1563</v>
      </c>
    </row>
    <row r="8" spans="1:9" x14ac:dyDescent="0.25">
      <c r="A8" s="6" t="s">
        <v>308</v>
      </c>
      <c r="B8" s="110" t="s">
        <v>1564</v>
      </c>
      <c r="C8" s="110" t="s">
        <v>1565</v>
      </c>
      <c r="D8" s="110" t="s">
        <v>1566</v>
      </c>
    </row>
    <row r="9" spans="1:9" x14ac:dyDescent="0.25">
      <c r="A9" s="6" t="s">
        <v>309</v>
      </c>
      <c r="B9" s="110" t="s">
        <v>1567</v>
      </c>
      <c r="C9" s="110" t="s">
        <v>1568</v>
      </c>
      <c r="D9" s="110" t="s">
        <v>1569</v>
      </c>
    </row>
    <row r="10" spans="1:9" x14ac:dyDescent="0.25">
      <c r="A10" s="6" t="s">
        <v>310</v>
      </c>
      <c r="B10" s="110" t="s">
        <v>1565</v>
      </c>
      <c r="C10" s="110" t="s">
        <v>1570</v>
      </c>
      <c r="D10" s="110" t="s">
        <v>1565</v>
      </c>
    </row>
    <row r="11" spans="1:9" ht="14.25" thickBot="1" x14ac:dyDescent="0.3">
      <c r="A11" s="7" t="s">
        <v>311</v>
      </c>
      <c r="B11" s="182" t="s">
        <v>1570</v>
      </c>
      <c r="C11" s="182" t="s">
        <v>1571</v>
      </c>
      <c r="D11" s="182" t="s">
        <v>1570</v>
      </c>
    </row>
    <row r="12" spans="1:9" ht="14.25" thickBot="1" x14ac:dyDescent="0.3">
      <c r="A12" s="5" t="s">
        <v>288</v>
      </c>
      <c r="B12" s="180" t="s">
        <v>1572</v>
      </c>
      <c r="C12" s="180" t="s">
        <v>1573</v>
      </c>
      <c r="D12" s="180" t="s">
        <v>16</v>
      </c>
    </row>
    <row r="13" spans="1:9" x14ac:dyDescent="0.25">
      <c r="A13" s="6" t="s">
        <v>306</v>
      </c>
      <c r="B13" s="111"/>
      <c r="C13" s="111"/>
      <c r="D13" s="111"/>
    </row>
    <row r="14" spans="1:9" x14ac:dyDescent="0.25">
      <c r="A14" s="6" t="s">
        <v>307</v>
      </c>
      <c r="B14" s="110" t="s">
        <v>1574</v>
      </c>
      <c r="C14" s="110" t="s">
        <v>1575</v>
      </c>
      <c r="D14" s="110" t="s">
        <v>16</v>
      </c>
    </row>
    <row r="15" spans="1:9" x14ac:dyDescent="0.25">
      <c r="A15" s="6" t="s">
        <v>312</v>
      </c>
      <c r="B15" s="110" t="s">
        <v>1576</v>
      </c>
      <c r="C15" s="110" t="s">
        <v>1577</v>
      </c>
      <c r="D15" s="110" t="s">
        <v>16</v>
      </c>
      <c r="E15" s="393"/>
      <c r="F15" s="393"/>
      <c r="H15" s="393"/>
      <c r="I15" s="393"/>
    </row>
    <row r="16" spans="1:9" x14ac:dyDescent="0.25">
      <c r="A16" s="6" t="s">
        <v>313</v>
      </c>
      <c r="B16" s="110" t="s">
        <v>1578</v>
      </c>
      <c r="C16" s="110" t="s">
        <v>1579</v>
      </c>
      <c r="D16" s="110" t="s">
        <v>16</v>
      </c>
      <c r="E16" s="393"/>
      <c r="F16" s="393"/>
      <c r="H16" s="393"/>
      <c r="I16" s="393"/>
    </row>
    <row r="17" spans="1:9" x14ac:dyDescent="0.25">
      <c r="A17" s="6" t="s">
        <v>314</v>
      </c>
      <c r="B17" s="110" t="s">
        <v>1580</v>
      </c>
      <c r="C17" s="110" t="s">
        <v>1580</v>
      </c>
      <c r="D17" s="110" t="s">
        <v>16</v>
      </c>
      <c r="E17" s="393"/>
      <c r="F17" s="393"/>
      <c r="H17" s="393"/>
      <c r="I17" s="393"/>
    </row>
    <row r="18" spans="1:9" ht="14.25" thickBot="1" x14ac:dyDescent="0.3">
      <c r="A18" s="487" t="s">
        <v>311</v>
      </c>
      <c r="B18" s="182" t="s">
        <v>1581</v>
      </c>
      <c r="C18" s="182" t="s">
        <v>1582</v>
      </c>
      <c r="D18" s="182" t="s">
        <v>16</v>
      </c>
      <c r="E18" s="393"/>
      <c r="F18" s="393"/>
      <c r="H18" s="393"/>
      <c r="I18" s="393"/>
    </row>
    <row r="19" spans="1:9" x14ac:dyDescent="0.25">
      <c r="A19" s="144"/>
      <c r="B19" s="488"/>
      <c r="C19" s="488"/>
      <c r="D19" s="621" t="s">
        <v>21</v>
      </c>
      <c r="E19" s="619"/>
      <c r="F19" s="619"/>
      <c r="H19" s="619"/>
      <c r="I19" s="393"/>
    </row>
    <row r="20" spans="1:9" x14ac:dyDescent="0.25">
      <c r="B20" s="393"/>
      <c r="C20" s="393"/>
      <c r="D20" s="393"/>
      <c r="E20" s="393"/>
      <c r="F20" s="393"/>
      <c r="H20" s="393"/>
      <c r="I20" s="393"/>
    </row>
    <row r="21" spans="1:9" x14ac:dyDescent="0.25">
      <c r="B21" s="393"/>
      <c r="C21" s="393"/>
      <c r="D21" s="393"/>
      <c r="E21" s="393"/>
      <c r="F21" s="393"/>
      <c r="H21" s="393"/>
      <c r="I21" s="393"/>
    </row>
    <row r="22" spans="1:9" ht="14.25" thickBot="1" x14ac:dyDescent="0.3">
      <c r="A22" s="896" t="s">
        <v>1090</v>
      </c>
      <c r="B22" s="896"/>
      <c r="C22" s="896"/>
      <c r="D22" s="896"/>
      <c r="E22" s="393"/>
      <c r="F22" s="393"/>
      <c r="H22" s="393"/>
      <c r="I22" s="393"/>
    </row>
    <row r="23" spans="1:9" ht="14.25" thickBot="1" x14ac:dyDescent="0.3">
      <c r="A23" s="7"/>
      <c r="B23" s="180" t="s">
        <v>759</v>
      </c>
      <c r="C23" s="180" t="s">
        <v>555</v>
      </c>
      <c r="D23" s="180" t="s">
        <v>760</v>
      </c>
    </row>
    <row r="24" spans="1:9" ht="14.25" thickBot="1" x14ac:dyDescent="0.3">
      <c r="A24" s="5" t="s">
        <v>554</v>
      </c>
      <c r="B24" s="180" t="str">
        <f t="shared" ref="B24:D31" si="0">B5</f>
        <v>-1,1 (-0,1)</v>
      </c>
      <c r="C24" s="180" t="str">
        <f t="shared" si="0"/>
        <v>-1,8 (-1,6)</v>
      </c>
      <c r="D24" s="180" t="str">
        <f t="shared" si="0"/>
        <v>-0,1 (0,9)</v>
      </c>
    </row>
    <row r="25" spans="1:9" x14ac:dyDescent="0.25">
      <c r="A25" s="6" t="s">
        <v>557</v>
      </c>
      <c r="B25" s="111">
        <f t="shared" si="0"/>
        <v>0</v>
      </c>
      <c r="C25" s="111">
        <f t="shared" si="0"/>
        <v>0</v>
      </c>
      <c r="D25" s="111">
        <f t="shared" si="0"/>
        <v>0</v>
      </c>
    </row>
    <row r="26" spans="1:9" x14ac:dyDescent="0.25">
      <c r="A26" s="6" t="s">
        <v>558</v>
      </c>
      <c r="B26" s="110" t="str">
        <f t="shared" si="0"/>
        <v>-0,6 (0,2)</v>
      </c>
      <c r="C26" s="110" t="str">
        <f t="shared" si="0"/>
        <v>-1,0 (-0,7)</v>
      </c>
      <c r="D26" s="110" t="str">
        <f t="shared" si="0"/>
        <v>-0,6 (0,2)</v>
      </c>
    </row>
    <row r="27" spans="1:9" x14ac:dyDescent="0.25">
      <c r="A27" s="6" t="s">
        <v>559</v>
      </c>
      <c r="B27" s="110" t="str">
        <f t="shared" si="0"/>
        <v>-0,1 (0,0)</v>
      </c>
      <c r="C27" s="110" t="str">
        <f t="shared" si="0"/>
        <v>0,0 (0,0)</v>
      </c>
      <c r="D27" s="110" t="str">
        <f t="shared" si="0"/>
        <v>0,0 (0,1)</v>
      </c>
    </row>
    <row r="28" spans="1:9" x14ac:dyDescent="0.25">
      <c r="A28" s="6" t="s">
        <v>560</v>
      </c>
      <c r="B28" s="110" t="str">
        <f t="shared" si="0"/>
        <v>-0,6 (-0,5)</v>
      </c>
      <c r="C28" s="110" t="str">
        <f t="shared" si="0"/>
        <v>-1,1 (-1,1)</v>
      </c>
      <c r="D28" s="110" t="str">
        <f t="shared" si="0"/>
        <v>0,4 (0,4)</v>
      </c>
    </row>
    <row r="29" spans="1:9" x14ac:dyDescent="0.25">
      <c r="A29" s="6" t="s">
        <v>561</v>
      </c>
      <c r="B29" s="110" t="str">
        <f t="shared" si="0"/>
        <v>0,0 (0,0)</v>
      </c>
      <c r="C29" s="110" t="str">
        <f t="shared" si="0"/>
        <v>0,2 (0,2)</v>
      </c>
      <c r="D29" s="110" t="str">
        <f t="shared" si="0"/>
        <v>0,0 (0,0)</v>
      </c>
    </row>
    <row r="30" spans="1:9" ht="14.25" thickBot="1" x14ac:dyDescent="0.3">
      <c r="A30" s="7" t="s">
        <v>594</v>
      </c>
      <c r="B30" s="182" t="str">
        <f t="shared" si="0"/>
        <v>0,2 (0,2)</v>
      </c>
      <c r="C30" s="182" t="str">
        <f t="shared" si="0"/>
        <v>0,1 (0,1)</v>
      </c>
      <c r="D30" s="182" t="str">
        <f t="shared" si="0"/>
        <v>0,2 (0,2)</v>
      </c>
    </row>
    <row r="31" spans="1:9" ht="14.25" thickBot="1" x14ac:dyDescent="0.3">
      <c r="A31" s="5" t="s">
        <v>556</v>
      </c>
      <c r="B31" s="180" t="str">
        <f t="shared" si="0"/>
        <v>2,6 (3,1)</v>
      </c>
      <c r="C31" s="180" t="str">
        <f t="shared" si="0"/>
        <v>2,1 (2,2)</v>
      </c>
      <c r="D31" s="180" t="str">
        <f t="shared" si="0"/>
        <v>-</v>
      </c>
    </row>
    <row r="32" spans="1:9" x14ac:dyDescent="0.25">
      <c r="A32" s="6" t="s">
        <v>557</v>
      </c>
      <c r="B32" s="111"/>
      <c r="C32" s="111"/>
      <c r="D32" s="111"/>
    </row>
    <row r="33" spans="1:4" x14ac:dyDescent="0.25">
      <c r="A33" s="6" t="s">
        <v>558</v>
      </c>
      <c r="B33" s="110" t="str">
        <f t="shared" ref="B33:D37" si="1">B14</f>
        <v>0,7 (1,2)</v>
      </c>
      <c r="C33" s="110" t="str">
        <f t="shared" si="1"/>
        <v>0,0 (0,2)</v>
      </c>
      <c r="D33" s="110" t="str">
        <f t="shared" si="1"/>
        <v>-</v>
      </c>
    </row>
    <row r="34" spans="1:4" x14ac:dyDescent="0.25">
      <c r="A34" s="6" t="s">
        <v>563</v>
      </c>
      <c r="B34" s="110" t="str">
        <f t="shared" si="1"/>
        <v>0,8 (0,8)</v>
      </c>
      <c r="C34" s="110" t="str">
        <f t="shared" si="1"/>
        <v>1,2 (1,1)</v>
      </c>
      <c r="D34" s="110" t="str">
        <f t="shared" si="1"/>
        <v>-</v>
      </c>
    </row>
    <row r="35" spans="1:4" x14ac:dyDescent="0.25">
      <c r="A35" s="6" t="s">
        <v>562</v>
      </c>
      <c r="B35" s="110" t="str">
        <f t="shared" si="1"/>
        <v>1,5 (1,6)</v>
      </c>
      <c r="C35" s="110" t="str">
        <f t="shared" si="1"/>
        <v>1,5 (1,5)</v>
      </c>
      <c r="D35" s="110" t="str">
        <f t="shared" si="1"/>
        <v>-</v>
      </c>
    </row>
    <row r="36" spans="1:4" x14ac:dyDescent="0.25">
      <c r="A36" s="6" t="s">
        <v>564</v>
      </c>
      <c r="B36" s="110" t="str">
        <f t="shared" si="1"/>
        <v>-0,3 (-0,3)</v>
      </c>
      <c r="C36" s="110" t="str">
        <f t="shared" si="1"/>
        <v>-0,3 (-0,3)</v>
      </c>
      <c r="D36" s="110" t="str">
        <f t="shared" si="1"/>
        <v>-</v>
      </c>
    </row>
    <row r="37" spans="1:4" ht="14.25" thickBot="1" x14ac:dyDescent="0.3">
      <c r="A37" s="144" t="s">
        <v>594</v>
      </c>
      <c r="B37" s="182" t="str">
        <f t="shared" si="1"/>
        <v>-0,1 (-0,1)</v>
      </c>
      <c r="C37" s="182" t="str">
        <f t="shared" si="1"/>
        <v>-0,2 (-0,2)</v>
      </c>
      <c r="D37" s="182" t="str">
        <f t="shared" si="1"/>
        <v>-</v>
      </c>
    </row>
    <row r="38" spans="1:4" x14ac:dyDescent="0.25">
      <c r="A38" s="620"/>
      <c r="B38" s="620"/>
      <c r="C38" s="620"/>
      <c r="D38" s="620" t="s">
        <v>345</v>
      </c>
    </row>
  </sheetData>
  <mergeCells count="2">
    <mergeCell ref="A3:D3"/>
    <mergeCell ref="A22:D22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0"/>
  <dimension ref="B2:K37"/>
  <sheetViews>
    <sheetView showGridLines="0" zoomScale="85" zoomScaleNormal="85" workbookViewId="0">
      <selection activeCell="M10" sqref="M10"/>
    </sheetView>
  </sheetViews>
  <sheetFormatPr defaultRowHeight="13.5" x14ac:dyDescent="0.25"/>
  <cols>
    <col min="1" max="1" width="9.140625" style="40"/>
    <col min="2" max="2" width="20.42578125" style="40" customWidth="1"/>
    <col min="3" max="10" width="10.7109375" style="40" bestFit="1" customWidth="1"/>
    <col min="11" max="16384" width="9.140625" style="40"/>
  </cols>
  <sheetData>
    <row r="2" spans="2:11" x14ac:dyDescent="0.25">
      <c r="B2" s="489"/>
      <c r="C2" s="490">
        <v>1990</v>
      </c>
      <c r="D2" s="490">
        <v>2000</v>
      </c>
      <c r="E2" s="490">
        <v>2010</v>
      </c>
      <c r="F2" s="490">
        <v>2020</v>
      </c>
      <c r="G2" s="490">
        <v>2030</v>
      </c>
      <c r="H2" s="490">
        <v>2040</v>
      </c>
      <c r="I2" s="490">
        <v>2050</v>
      </c>
      <c r="J2" s="490">
        <v>2060</v>
      </c>
    </row>
    <row r="3" spans="2:11" x14ac:dyDescent="0.25">
      <c r="B3" s="616" t="s">
        <v>688</v>
      </c>
      <c r="C3" s="91">
        <v>16</v>
      </c>
      <c r="D3" s="91">
        <v>16.600000000000001</v>
      </c>
      <c r="E3" s="91">
        <v>17.3</v>
      </c>
      <c r="F3" s="91">
        <v>24.3</v>
      </c>
      <c r="G3" s="91">
        <v>32.6</v>
      </c>
      <c r="H3" s="91">
        <v>39.97</v>
      </c>
      <c r="I3" s="91">
        <v>54.17</v>
      </c>
      <c r="J3" s="91">
        <v>65.89</v>
      </c>
    </row>
    <row r="4" spans="2:11" x14ac:dyDescent="0.25">
      <c r="B4" s="617" t="s">
        <v>689</v>
      </c>
      <c r="C4" s="91">
        <v>16</v>
      </c>
      <c r="D4" s="91">
        <v>16.600000000000001</v>
      </c>
      <c r="E4" s="91">
        <v>17.3</v>
      </c>
      <c r="F4" s="91">
        <v>24.4</v>
      </c>
      <c r="G4" s="91">
        <v>32.6</v>
      </c>
      <c r="H4" s="91">
        <v>39.1</v>
      </c>
      <c r="I4" s="91">
        <v>50.9</v>
      </c>
      <c r="J4" s="91">
        <v>59.4</v>
      </c>
    </row>
    <row r="5" spans="2:11" ht="27" x14ac:dyDescent="0.25">
      <c r="B5" s="617" t="s">
        <v>690</v>
      </c>
      <c r="C5" s="169">
        <v>5287663</v>
      </c>
      <c r="D5" s="169">
        <v>5398657</v>
      </c>
      <c r="E5" s="169">
        <v>5390410</v>
      </c>
      <c r="F5" s="169">
        <v>5414527</v>
      </c>
      <c r="G5" s="169">
        <v>5314025</v>
      </c>
      <c r="H5" s="169">
        <v>5111991</v>
      </c>
      <c r="I5" s="169">
        <v>4869970</v>
      </c>
      <c r="J5" s="169">
        <v>4574335</v>
      </c>
    </row>
    <row r="6" spans="2:11" ht="27" x14ac:dyDescent="0.25">
      <c r="B6" s="618" t="s">
        <v>691</v>
      </c>
      <c r="C6" s="170">
        <v>5287663</v>
      </c>
      <c r="D6" s="170">
        <v>5398657</v>
      </c>
      <c r="E6" s="170">
        <v>5390410</v>
      </c>
      <c r="F6" s="170">
        <v>5458718</v>
      </c>
      <c r="G6" s="170">
        <v>5464199</v>
      </c>
      <c r="H6" s="170">
        <v>5373043</v>
      </c>
      <c r="I6" s="170">
        <v>5261609</v>
      </c>
      <c r="J6" s="170">
        <v>5114570</v>
      </c>
    </row>
    <row r="7" spans="2:11" x14ac:dyDescent="0.25">
      <c r="B7" s="617"/>
      <c r="C7" s="169"/>
      <c r="D7" s="169"/>
      <c r="E7" s="169"/>
      <c r="F7" s="169"/>
      <c r="G7" s="169"/>
      <c r="H7" s="169"/>
      <c r="I7" s="169"/>
      <c r="J7" s="169"/>
    </row>
    <row r="8" spans="2:11" x14ac:dyDescent="0.25">
      <c r="B8" s="489"/>
      <c r="C8" s="490">
        <v>1990</v>
      </c>
      <c r="D8" s="490">
        <v>2000</v>
      </c>
      <c r="E8" s="490">
        <v>2010</v>
      </c>
      <c r="F8" s="490">
        <v>2020</v>
      </c>
      <c r="G8" s="490">
        <v>2030</v>
      </c>
      <c r="H8" s="490">
        <v>2040</v>
      </c>
      <c r="I8" s="490">
        <v>2050</v>
      </c>
      <c r="J8" s="490">
        <v>2060</v>
      </c>
    </row>
    <row r="9" spans="2:11" x14ac:dyDescent="0.25">
      <c r="B9" s="616" t="s">
        <v>1800</v>
      </c>
      <c r="C9" s="91">
        <v>16</v>
      </c>
      <c r="D9" s="91">
        <v>16.600000000000001</v>
      </c>
      <c r="E9" s="91">
        <v>17.3</v>
      </c>
      <c r="F9" s="91">
        <v>24.3</v>
      </c>
      <c r="G9" s="91">
        <v>32.6</v>
      </c>
      <c r="H9" s="91">
        <v>39.97</v>
      </c>
      <c r="I9" s="91">
        <v>54.17</v>
      </c>
      <c r="J9" s="91">
        <v>65.89</v>
      </c>
    </row>
    <row r="10" spans="2:11" x14ac:dyDescent="0.25">
      <c r="B10" s="617" t="s">
        <v>1801</v>
      </c>
      <c r="C10" s="91">
        <v>16</v>
      </c>
      <c r="D10" s="91">
        <v>16.600000000000001</v>
      </c>
      <c r="E10" s="91">
        <v>17.3</v>
      </c>
      <c r="F10" s="91">
        <v>24.4</v>
      </c>
      <c r="G10" s="91">
        <v>32.6</v>
      </c>
      <c r="H10" s="91">
        <v>39.1</v>
      </c>
      <c r="I10" s="91">
        <v>50.9</v>
      </c>
      <c r="J10" s="91">
        <v>59.4</v>
      </c>
    </row>
    <row r="11" spans="2:11" ht="27" x14ac:dyDescent="0.25">
      <c r="B11" s="617" t="s">
        <v>1802</v>
      </c>
      <c r="C11" s="169">
        <v>5287663</v>
      </c>
      <c r="D11" s="169">
        <v>5398657</v>
      </c>
      <c r="E11" s="169">
        <v>5390410</v>
      </c>
      <c r="F11" s="169">
        <v>5414527</v>
      </c>
      <c r="G11" s="169">
        <v>5314025</v>
      </c>
      <c r="H11" s="169">
        <v>5111991</v>
      </c>
      <c r="I11" s="169">
        <v>4869970</v>
      </c>
      <c r="J11" s="169">
        <v>4574335</v>
      </c>
    </row>
    <row r="12" spans="2:11" ht="27" x14ac:dyDescent="0.25">
      <c r="B12" s="618" t="s">
        <v>1803</v>
      </c>
      <c r="C12" s="170">
        <v>5287663</v>
      </c>
      <c r="D12" s="170">
        <v>5398657</v>
      </c>
      <c r="E12" s="170">
        <v>5390410</v>
      </c>
      <c r="F12" s="170">
        <v>5458718</v>
      </c>
      <c r="G12" s="170">
        <v>5464199</v>
      </c>
      <c r="H12" s="170">
        <v>5373043</v>
      </c>
      <c r="I12" s="170">
        <v>5261609</v>
      </c>
      <c r="J12" s="170">
        <v>5114570</v>
      </c>
    </row>
    <row r="13" spans="2:11" x14ac:dyDescent="0.25">
      <c r="B13" s="617"/>
      <c r="C13" s="169"/>
      <c r="D13" s="169"/>
      <c r="E13" s="169"/>
      <c r="F13" s="169"/>
      <c r="G13" s="169"/>
      <c r="H13" s="169"/>
      <c r="I13" s="169"/>
      <c r="J13" s="169"/>
    </row>
    <row r="14" spans="2:11" x14ac:dyDescent="0.25">
      <c r="B14" s="617"/>
      <c r="C14" s="169"/>
      <c r="D14" s="169"/>
      <c r="E14" s="169"/>
      <c r="F14" s="169"/>
      <c r="G14" s="169"/>
      <c r="H14" s="169"/>
      <c r="I14" s="169"/>
      <c r="J14" s="169"/>
    </row>
    <row r="16" spans="2:11" ht="45" customHeight="1" x14ac:dyDescent="0.25">
      <c r="B16" s="1008" t="s">
        <v>1804</v>
      </c>
      <c r="C16" s="1008"/>
      <c r="D16" s="1008"/>
      <c r="E16" s="1008"/>
      <c r="F16" s="1008"/>
      <c r="G16" s="1008"/>
      <c r="H16" s="1008"/>
      <c r="I16" s="1008"/>
      <c r="J16" s="1008"/>
      <c r="K16" s="1008"/>
    </row>
    <row r="36" spans="2:11" x14ac:dyDescent="0.25">
      <c r="B36" s="390"/>
      <c r="C36" s="390"/>
      <c r="D36" s="390"/>
      <c r="E36" s="390"/>
      <c r="F36" s="390"/>
      <c r="G36" s="390"/>
      <c r="H36" s="390"/>
      <c r="I36" s="390"/>
      <c r="J36" s="390"/>
      <c r="K36" s="390"/>
    </row>
    <row r="37" spans="2:11" x14ac:dyDescent="0.25">
      <c r="B37" s="491"/>
      <c r="C37" s="491"/>
      <c r="D37" s="491"/>
      <c r="E37" s="491"/>
      <c r="F37" s="491"/>
      <c r="G37" s="491"/>
      <c r="H37" s="491"/>
      <c r="I37" s="491"/>
      <c r="J37" s="492" t="s">
        <v>692</v>
      </c>
      <c r="K37" s="491"/>
    </row>
  </sheetData>
  <mergeCells count="1">
    <mergeCell ref="B16:K16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1"/>
  <dimension ref="B2:E15"/>
  <sheetViews>
    <sheetView showGridLines="0" zoomScale="85" zoomScaleNormal="85" workbookViewId="0">
      <selection activeCell="D18" sqref="D18"/>
    </sheetView>
  </sheetViews>
  <sheetFormatPr defaultColWidth="8.85546875" defaultRowHeight="13.5" x14ac:dyDescent="0.25"/>
  <cols>
    <col min="1" max="1" width="14.5703125" style="173" customWidth="1"/>
    <col min="2" max="2" width="42.7109375" style="173" customWidth="1"/>
    <col min="3" max="5" width="30.7109375" style="173" customWidth="1"/>
    <col min="6" max="16384" width="8.85546875" style="173"/>
  </cols>
  <sheetData>
    <row r="2" spans="2:5" x14ac:dyDescent="0.25">
      <c r="B2" s="572" t="s">
        <v>737</v>
      </c>
    </row>
    <row r="3" spans="2:5" x14ac:dyDescent="0.25">
      <c r="B3" s="171"/>
      <c r="C3" s="172" t="s">
        <v>1809</v>
      </c>
      <c r="D3" s="172" t="s">
        <v>1810</v>
      </c>
      <c r="E3" s="172" t="s">
        <v>1811</v>
      </c>
    </row>
    <row r="4" spans="2:5" x14ac:dyDescent="0.25">
      <c r="B4" s="173" t="s">
        <v>1805</v>
      </c>
      <c r="C4" s="891">
        <v>189</v>
      </c>
      <c r="D4" s="891">
        <v>40</v>
      </c>
      <c r="E4" s="891">
        <v>0</v>
      </c>
    </row>
    <row r="5" spans="2:5" x14ac:dyDescent="0.25">
      <c r="B5" s="173" t="s">
        <v>738</v>
      </c>
      <c r="C5" s="891">
        <v>174</v>
      </c>
      <c r="D5" s="891">
        <v>0</v>
      </c>
      <c r="E5" s="891">
        <v>0.5</v>
      </c>
    </row>
    <row r="6" spans="2:5" x14ac:dyDescent="0.25">
      <c r="B6" s="174" t="s">
        <v>1806</v>
      </c>
      <c r="C6" s="892">
        <v>4080</v>
      </c>
      <c r="D6" s="892">
        <v>410</v>
      </c>
      <c r="E6" s="892">
        <v>967.5</v>
      </c>
    </row>
    <row r="7" spans="2:5" x14ac:dyDescent="0.25">
      <c r="B7" s="175" t="s">
        <v>1807</v>
      </c>
      <c r="C7" s="893">
        <f>SUM(C4:C6)</f>
        <v>4443</v>
      </c>
      <c r="D7" s="893">
        <f t="shared" ref="D7:E7" si="0">SUM(D4:D6)</f>
        <v>450</v>
      </c>
      <c r="E7" s="893">
        <f t="shared" si="0"/>
        <v>968</v>
      </c>
    </row>
    <row r="8" spans="2:5" x14ac:dyDescent="0.25">
      <c r="C8" s="614">
        <v>1</v>
      </c>
      <c r="D8" s="614">
        <v>1</v>
      </c>
      <c r="E8" s="614">
        <v>1</v>
      </c>
    </row>
    <row r="9" spans="2:5" x14ac:dyDescent="0.25">
      <c r="C9" s="615"/>
      <c r="D9" s="615"/>
      <c r="E9" s="615"/>
    </row>
    <row r="10" spans="2:5" x14ac:dyDescent="0.25">
      <c r="B10" s="572" t="s">
        <v>739</v>
      </c>
      <c r="C10" s="615"/>
      <c r="D10" s="615"/>
      <c r="E10" s="615"/>
    </row>
    <row r="11" spans="2:5" x14ac:dyDescent="0.25">
      <c r="B11" s="171"/>
      <c r="C11" s="172" t="s">
        <v>1809</v>
      </c>
      <c r="D11" s="172" t="s">
        <v>1810</v>
      </c>
      <c r="E11" s="172" t="s">
        <v>1811</v>
      </c>
    </row>
    <row r="12" spans="2:5" x14ac:dyDescent="0.25">
      <c r="B12" s="173" t="s">
        <v>1805</v>
      </c>
      <c r="C12" s="176">
        <f>C4/C$7</f>
        <v>4.2538825118163405E-2</v>
      </c>
      <c r="D12" s="176">
        <f t="shared" ref="D12:E12" si="1">D4/D$7</f>
        <v>8.8888888888888892E-2</v>
      </c>
      <c r="E12" s="176">
        <f t="shared" si="1"/>
        <v>0</v>
      </c>
    </row>
    <row r="13" spans="2:5" x14ac:dyDescent="0.25">
      <c r="B13" s="173" t="s">
        <v>738</v>
      </c>
      <c r="C13" s="176">
        <f>C5/C$7</f>
        <v>3.916272788656313E-2</v>
      </c>
      <c r="D13" s="176">
        <f>D5/D$7</f>
        <v>0</v>
      </c>
      <c r="E13" s="176">
        <f>E5/E$7</f>
        <v>5.1652892561983473E-4</v>
      </c>
    </row>
    <row r="14" spans="2:5" x14ac:dyDescent="0.25">
      <c r="B14" s="174" t="s">
        <v>1806</v>
      </c>
      <c r="C14" s="177">
        <f>C6/C$7</f>
        <v>0.91829844699527341</v>
      </c>
      <c r="D14" s="177">
        <f t="shared" ref="D14:E15" si="2">D6/D$7</f>
        <v>0.91111111111111109</v>
      </c>
      <c r="E14" s="177">
        <f t="shared" si="2"/>
        <v>0.99948347107438018</v>
      </c>
    </row>
    <row r="15" spans="2:5" x14ac:dyDescent="0.25">
      <c r="B15" s="175" t="s">
        <v>1808</v>
      </c>
      <c r="C15" s="178">
        <f>C7/C$7</f>
        <v>1</v>
      </c>
      <c r="D15" s="178">
        <f t="shared" si="2"/>
        <v>1</v>
      </c>
      <c r="E15" s="178">
        <f t="shared" si="2"/>
        <v>1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2"/>
  <dimension ref="C2:C3"/>
  <sheetViews>
    <sheetView showGridLines="0" zoomScale="85" zoomScaleNormal="85" workbookViewId="0"/>
  </sheetViews>
  <sheetFormatPr defaultRowHeight="13.5" x14ac:dyDescent="0.25"/>
  <cols>
    <col min="1" max="16384" width="9.140625" style="40"/>
  </cols>
  <sheetData>
    <row r="2" spans="3:3" x14ac:dyDescent="0.25">
      <c r="C2" s="393"/>
    </row>
    <row r="3" spans="3:3" ht="14.25" thickBot="1" x14ac:dyDescent="0.3">
      <c r="C3" s="613"/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4"/>
  <dimension ref="B1:F26"/>
  <sheetViews>
    <sheetView showGridLines="0" zoomScale="85" zoomScaleNormal="85" workbookViewId="0">
      <selection activeCell="F25" sqref="F25"/>
    </sheetView>
  </sheetViews>
  <sheetFormatPr defaultRowHeight="13.5" x14ac:dyDescent="0.25"/>
  <cols>
    <col min="1" max="1" width="11.42578125" style="40" customWidth="1"/>
    <col min="2" max="2" width="12.28515625" style="40" customWidth="1"/>
    <col min="3" max="3" width="28.28515625" style="40" customWidth="1"/>
    <col min="4" max="4" width="8" style="40" customWidth="1"/>
    <col min="5" max="5" width="28.28515625" style="40" customWidth="1"/>
    <col min="6" max="6" width="25.28515625" style="40" customWidth="1"/>
    <col min="7" max="16384" width="9.140625" style="40"/>
  </cols>
  <sheetData>
    <row r="1" spans="2:6" x14ac:dyDescent="0.25">
      <c r="C1" s="115"/>
      <c r="D1" s="610"/>
      <c r="E1" s="491" t="s">
        <v>1368</v>
      </c>
      <c r="F1" s="609">
        <v>0</v>
      </c>
    </row>
    <row r="2" spans="2:6" x14ac:dyDescent="0.25">
      <c r="C2" s="115"/>
      <c r="D2" s="115"/>
      <c r="E2" s="40" t="s">
        <v>1370</v>
      </c>
      <c r="F2" s="608">
        <v>254363698.47712713</v>
      </c>
    </row>
    <row r="3" spans="2:6" x14ac:dyDescent="0.25">
      <c r="B3" s="987"/>
      <c r="C3" s="115"/>
      <c r="D3" s="988" t="s">
        <v>1372</v>
      </c>
      <c r="E3" s="393" t="s">
        <v>1373</v>
      </c>
      <c r="F3" s="611">
        <v>244288141.45737752</v>
      </c>
    </row>
    <row r="4" spans="2:6" x14ac:dyDescent="0.25">
      <c r="B4" s="987"/>
      <c r="C4" s="115"/>
      <c r="D4" s="988"/>
      <c r="E4" s="393" t="s">
        <v>1376</v>
      </c>
      <c r="F4" s="611">
        <v>221834429.93380305</v>
      </c>
    </row>
    <row r="5" spans="2:6" x14ac:dyDescent="0.25">
      <c r="B5" s="987"/>
      <c r="C5" s="115"/>
      <c r="D5" s="989"/>
      <c r="E5" s="390" t="s">
        <v>1377</v>
      </c>
      <c r="F5" s="612">
        <v>288790201.1011284</v>
      </c>
    </row>
    <row r="22" spans="4:6" x14ac:dyDescent="0.25">
      <c r="D22" s="491"/>
      <c r="E22" s="491" t="s">
        <v>1369</v>
      </c>
      <c r="F22" s="609">
        <v>0</v>
      </c>
    </row>
    <row r="23" spans="4:6" x14ac:dyDescent="0.25">
      <c r="E23" s="40" t="s">
        <v>1371</v>
      </c>
      <c r="F23" s="608">
        <v>254363698.47712713</v>
      </c>
    </row>
    <row r="24" spans="4:6" x14ac:dyDescent="0.25">
      <c r="E24" s="40" t="s">
        <v>1375</v>
      </c>
      <c r="F24" s="608">
        <v>244288141.45737752</v>
      </c>
    </row>
    <row r="25" spans="4:6" x14ac:dyDescent="0.25">
      <c r="D25" s="990" t="s">
        <v>1374</v>
      </c>
      <c r="E25" s="393" t="s">
        <v>1376</v>
      </c>
      <c r="F25" s="611">
        <v>221834429.93380305</v>
      </c>
    </row>
    <row r="26" spans="4:6" x14ac:dyDescent="0.25">
      <c r="D26" s="991"/>
      <c r="E26" s="390" t="s">
        <v>1378</v>
      </c>
      <c r="F26" s="612">
        <v>288790201.1011284</v>
      </c>
    </row>
  </sheetData>
  <mergeCells count="3">
    <mergeCell ref="B3:B5"/>
    <mergeCell ref="D3:D5"/>
    <mergeCell ref="D25:D26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5"/>
  <dimension ref="B2:X54"/>
  <sheetViews>
    <sheetView showGridLines="0" zoomScale="85" zoomScaleNormal="85" workbookViewId="0">
      <selection activeCell="S25" sqref="S25"/>
    </sheetView>
  </sheetViews>
  <sheetFormatPr defaultRowHeight="13.5" x14ac:dyDescent="0.25"/>
  <cols>
    <col min="1" max="1" width="18.140625" style="349" customWidth="1"/>
    <col min="2" max="2" width="20.7109375" style="349" customWidth="1"/>
    <col min="3" max="13" width="9.140625" style="349"/>
    <col min="14" max="14" width="20.7109375" style="349" customWidth="1"/>
    <col min="15" max="16384" width="9.140625" style="349"/>
  </cols>
  <sheetData>
    <row r="2" spans="2:24" ht="14.25" thickBot="1" x14ac:dyDescent="0.3">
      <c r="B2" s="993" t="s">
        <v>1255</v>
      </c>
      <c r="C2" s="993"/>
      <c r="D2" s="993"/>
      <c r="E2" s="993"/>
      <c r="F2" s="993"/>
      <c r="G2" s="993"/>
      <c r="H2" s="993"/>
      <c r="I2" s="993"/>
      <c r="J2" s="993"/>
      <c r="K2" s="993"/>
      <c r="L2" s="993"/>
      <c r="N2" s="951" t="s">
        <v>1261</v>
      </c>
      <c r="O2" s="951"/>
      <c r="P2" s="951"/>
      <c r="Q2" s="951"/>
      <c r="R2" s="951"/>
      <c r="S2" s="951"/>
      <c r="T2" s="951"/>
      <c r="U2" s="951"/>
      <c r="V2" s="951"/>
      <c r="W2" s="951"/>
      <c r="X2" s="951"/>
    </row>
    <row r="20" spans="2:24" x14ac:dyDescent="0.25">
      <c r="B20" s="992" t="s">
        <v>1256</v>
      </c>
      <c r="C20" s="992"/>
      <c r="D20" s="992"/>
      <c r="E20" s="992"/>
      <c r="F20" s="992"/>
      <c r="G20" s="992"/>
      <c r="H20" s="992"/>
      <c r="I20" s="992"/>
      <c r="J20" s="992"/>
      <c r="K20" s="992"/>
      <c r="L20" s="992"/>
      <c r="N20" s="992" t="s">
        <v>1262</v>
      </c>
      <c r="O20" s="992"/>
      <c r="P20" s="992"/>
      <c r="Q20" s="992"/>
      <c r="R20" s="992"/>
      <c r="S20" s="992"/>
      <c r="T20" s="992"/>
      <c r="U20" s="992"/>
      <c r="V20" s="992"/>
      <c r="W20" s="992"/>
      <c r="X20" s="992"/>
    </row>
    <row r="21" spans="2:24" x14ac:dyDescent="0.25">
      <c r="B21" s="350"/>
      <c r="C21" s="357">
        <v>2007</v>
      </c>
      <c r="D21" s="357">
        <v>2008</v>
      </c>
      <c r="E21" s="357">
        <v>2009</v>
      </c>
      <c r="F21" s="357">
        <v>2010</v>
      </c>
      <c r="G21" s="357">
        <v>2011</v>
      </c>
      <c r="H21" s="357">
        <v>2012</v>
      </c>
      <c r="I21" s="357">
        <v>2013</v>
      </c>
      <c r="J21" s="357">
        <v>2014</v>
      </c>
      <c r="K21" s="357">
        <v>2015</v>
      </c>
      <c r="L21" s="357">
        <v>2016</v>
      </c>
      <c r="N21" s="350"/>
      <c r="O21" s="351">
        <v>2007</v>
      </c>
      <c r="P21" s="351">
        <v>2008</v>
      </c>
      <c r="Q21" s="351">
        <v>2009</v>
      </c>
      <c r="R21" s="351">
        <v>2010</v>
      </c>
      <c r="S21" s="351">
        <v>2011</v>
      </c>
      <c r="T21" s="351">
        <v>2012</v>
      </c>
      <c r="U21" s="351">
        <v>2013</v>
      </c>
      <c r="V21" s="351">
        <v>2014</v>
      </c>
      <c r="W21" s="351">
        <v>2015</v>
      </c>
      <c r="X21" s="351">
        <v>2016</v>
      </c>
    </row>
    <row r="22" spans="2:24" x14ac:dyDescent="0.25">
      <c r="B22" s="349" t="s">
        <v>1156</v>
      </c>
      <c r="C22" s="352">
        <v>34.4</v>
      </c>
      <c r="D22" s="352">
        <v>34.5</v>
      </c>
      <c r="E22" s="352">
        <v>36.299999999999997</v>
      </c>
      <c r="F22" s="352">
        <v>34.700000000000003</v>
      </c>
      <c r="G22" s="352">
        <v>36.5</v>
      </c>
      <c r="H22" s="352">
        <v>36.299999999999997</v>
      </c>
      <c r="I22" s="352">
        <v>38.700000000000003</v>
      </c>
      <c r="J22" s="352">
        <v>39.299999999999997</v>
      </c>
      <c r="K22" s="352">
        <v>42.8</v>
      </c>
      <c r="L22" s="352">
        <v>40</v>
      </c>
      <c r="N22" s="349" t="s">
        <v>1156</v>
      </c>
      <c r="O22" s="352">
        <v>29.099999999999998</v>
      </c>
      <c r="P22" s="352">
        <v>28.8</v>
      </c>
      <c r="Q22" s="352">
        <v>28.799999999999997</v>
      </c>
      <c r="R22" s="352">
        <v>27.9</v>
      </c>
      <c r="S22" s="352">
        <v>28.400000000000002</v>
      </c>
      <c r="T22" s="352">
        <v>28.2</v>
      </c>
      <c r="U22" s="352">
        <v>30.200000000000003</v>
      </c>
      <c r="V22" s="352">
        <v>31.1</v>
      </c>
      <c r="W22" s="352">
        <v>32.200000000000003</v>
      </c>
      <c r="X22" s="352">
        <v>32.6</v>
      </c>
    </row>
    <row r="23" spans="2:24" x14ac:dyDescent="0.25">
      <c r="B23" s="349" t="s">
        <v>1154</v>
      </c>
      <c r="C23" s="353">
        <v>44.7</v>
      </c>
      <c r="D23" s="353">
        <v>44.4</v>
      </c>
      <c r="E23" s="353">
        <v>44.4</v>
      </c>
      <c r="F23" s="353">
        <v>44.3</v>
      </c>
      <c r="G23" s="353">
        <v>44.9</v>
      </c>
      <c r="H23" s="353">
        <v>46.1</v>
      </c>
      <c r="I23" s="353">
        <v>46.7</v>
      </c>
      <c r="J23" s="353">
        <v>46.7</v>
      </c>
      <c r="K23" s="353">
        <v>46.4</v>
      </c>
      <c r="L23" s="370">
        <v>46.2</v>
      </c>
      <c r="N23" s="349" t="s">
        <v>1250</v>
      </c>
      <c r="O23" s="353">
        <v>39.9</v>
      </c>
      <c r="P23" s="353">
        <v>39.300000000000004</v>
      </c>
      <c r="Q23" s="353">
        <v>39.1</v>
      </c>
      <c r="R23" s="353">
        <v>39.099999999999994</v>
      </c>
      <c r="S23" s="353">
        <v>39.499999999999993</v>
      </c>
      <c r="T23" s="353">
        <v>40.699999999999996</v>
      </c>
      <c r="U23" s="353">
        <v>41.3</v>
      </c>
      <c r="V23" s="353">
        <v>41.3</v>
      </c>
      <c r="W23" s="353">
        <v>41.199999999999996</v>
      </c>
      <c r="X23" s="370">
        <v>41.1</v>
      </c>
    </row>
    <row r="24" spans="2:24" x14ac:dyDescent="0.25">
      <c r="B24" s="349" t="s">
        <v>1157</v>
      </c>
      <c r="C24" s="352">
        <f>AVERAGE(C25:C27)</f>
        <v>41.866666666666667</v>
      </c>
      <c r="D24" s="352">
        <f t="shared" ref="D24:L24" si="0">AVERAGE(D25:D27)</f>
        <v>41.266666666666673</v>
      </c>
      <c r="E24" s="352">
        <f t="shared" si="0"/>
        <v>40.6</v>
      </c>
      <c r="F24" s="352">
        <f t="shared" si="0"/>
        <v>40.699999999999996</v>
      </c>
      <c r="G24" s="352">
        <f t="shared" si="0"/>
        <v>41.2</v>
      </c>
      <c r="H24" s="352">
        <f t="shared" si="0"/>
        <v>41.93333333333333</v>
      </c>
      <c r="I24" s="352">
        <f t="shared" si="0"/>
        <v>42.233333333333334</v>
      </c>
      <c r="J24" s="352">
        <f t="shared" si="0"/>
        <v>42</v>
      </c>
      <c r="K24" s="352">
        <f t="shared" si="0"/>
        <v>42.966666666666669</v>
      </c>
      <c r="L24" s="352">
        <f t="shared" si="0"/>
        <v>41.633333333333333</v>
      </c>
      <c r="N24" s="349" t="s">
        <v>1157</v>
      </c>
      <c r="O24" s="352">
        <f>AVERAGE(O25:O27)</f>
        <v>36.366666666666667</v>
      </c>
      <c r="P24" s="352">
        <f t="shared" ref="P24:X24" si="1">AVERAGE(P25:P27)</f>
        <v>35.699999999999996</v>
      </c>
      <c r="Q24" s="352">
        <f t="shared" si="1"/>
        <v>34.366666666666667</v>
      </c>
      <c r="R24" s="352">
        <f t="shared" si="1"/>
        <v>34</v>
      </c>
      <c r="S24" s="352">
        <f t="shared" si="1"/>
        <v>34.333333333333329</v>
      </c>
      <c r="T24" s="352">
        <f t="shared" si="1"/>
        <v>35.133333333333333</v>
      </c>
      <c r="U24" s="352">
        <f t="shared" si="1"/>
        <v>35.199999999999996</v>
      </c>
      <c r="V24" s="352">
        <f t="shared" si="1"/>
        <v>34.9</v>
      </c>
      <c r="W24" s="352">
        <f t="shared" si="1"/>
        <v>35.466666666666669</v>
      </c>
      <c r="X24" s="370">
        <f t="shared" si="1"/>
        <v>36.333333333333336</v>
      </c>
    </row>
    <row r="25" spans="2:24" x14ac:dyDescent="0.25">
      <c r="B25" s="354" t="s">
        <v>1252</v>
      </c>
      <c r="C25" s="352">
        <v>39.299999999999997</v>
      </c>
      <c r="D25" s="352">
        <v>38.1</v>
      </c>
      <c r="E25" s="352">
        <v>38.1</v>
      </c>
      <c r="F25" s="352">
        <v>38.6</v>
      </c>
      <c r="G25" s="352">
        <v>40.299999999999997</v>
      </c>
      <c r="H25" s="352">
        <v>40.5</v>
      </c>
      <c r="I25" s="352">
        <v>41.4</v>
      </c>
      <c r="J25" s="352">
        <v>40.299999999999997</v>
      </c>
      <c r="K25" s="352">
        <v>41.4</v>
      </c>
      <c r="L25" s="370">
        <v>40.5</v>
      </c>
      <c r="N25" s="354" t="s">
        <v>1252</v>
      </c>
      <c r="O25" s="352">
        <v>34.299999999999997</v>
      </c>
      <c r="P25" s="352">
        <v>32.9</v>
      </c>
      <c r="Q25" s="352">
        <v>32</v>
      </c>
      <c r="R25" s="352">
        <v>32.299999999999997</v>
      </c>
      <c r="S25" s="352">
        <v>33.599999999999994</v>
      </c>
      <c r="T25" s="352">
        <v>34.1</v>
      </c>
      <c r="U25" s="352">
        <v>34.700000000000003</v>
      </c>
      <c r="V25" s="352">
        <v>33.700000000000003</v>
      </c>
      <c r="W25" s="352">
        <v>34.200000000000003</v>
      </c>
      <c r="X25" s="370">
        <v>35</v>
      </c>
    </row>
    <row r="26" spans="2:24" x14ac:dyDescent="0.25">
      <c r="B26" s="354" t="s">
        <v>1253</v>
      </c>
      <c r="C26" s="352">
        <v>41.3</v>
      </c>
      <c r="D26" s="352">
        <v>40.6</v>
      </c>
      <c r="E26" s="352">
        <v>37.700000000000003</v>
      </c>
      <c r="F26" s="352">
        <v>38.5</v>
      </c>
      <c r="G26" s="352">
        <v>39.1</v>
      </c>
      <c r="H26" s="352">
        <v>39.1</v>
      </c>
      <c r="I26" s="352">
        <v>38.5</v>
      </c>
      <c r="J26" s="352">
        <v>38.799999999999997</v>
      </c>
      <c r="K26" s="352">
        <v>39</v>
      </c>
      <c r="L26" s="370">
        <v>38.799999999999997</v>
      </c>
      <c r="N26" s="354" t="s">
        <v>1253</v>
      </c>
      <c r="O26" s="352">
        <v>35.300000000000004</v>
      </c>
      <c r="P26" s="352">
        <v>34.799999999999997</v>
      </c>
      <c r="Q26" s="352">
        <v>31.9</v>
      </c>
      <c r="R26" s="352">
        <v>32.299999999999997</v>
      </c>
      <c r="S26" s="352">
        <v>32.699999999999996</v>
      </c>
      <c r="T26" s="352">
        <v>32.9</v>
      </c>
      <c r="U26" s="352">
        <v>32.9</v>
      </c>
      <c r="V26" s="352">
        <v>32.800000000000004</v>
      </c>
      <c r="W26" s="352">
        <v>33.200000000000003</v>
      </c>
      <c r="X26" s="370">
        <v>34.4</v>
      </c>
    </row>
    <row r="27" spans="2:24" x14ac:dyDescent="0.25">
      <c r="B27" s="355" t="s">
        <v>1254</v>
      </c>
      <c r="C27" s="356">
        <v>45</v>
      </c>
      <c r="D27" s="356">
        <v>45.1</v>
      </c>
      <c r="E27" s="356">
        <v>46</v>
      </c>
      <c r="F27" s="356">
        <v>45</v>
      </c>
      <c r="G27" s="356">
        <v>44.2</v>
      </c>
      <c r="H27" s="356">
        <v>46.2</v>
      </c>
      <c r="I27" s="356">
        <v>46.8</v>
      </c>
      <c r="J27" s="356">
        <v>46.9</v>
      </c>
      <c r="K27" s="356">
        <v>48.5</v>
      </c>
      <c r="L27" s="371">
        <v>45.6</v>
      </c>
      <c r="N27" s="355" t="s">
        <v>1254</v>
      </c>
      <c r="O27" s="356">
        <v>39.5</v>
      </c>
      <c r="P27" s="356">
        <v>39.4</v>
      </c>
      <c r="Q27" s="356">
        <v>39.199999999999996</v>
      </c>
      <c r="R27" s="356">
        <v>37.4</v>
      </c>
      <c r="S27" s="356">
        <v>36.700000000000003</v>
      </c>
      <c r="T27" s="356">
        <v>38.400000000000006</v>
      </c>
      <c r="U27" s="356">
        <v>38</v>
      </c>
      <c r="V27" s="356">
        <v>38.200000000000003</v>
      </c>
      <c r="W27" s="356">
        <v>39</v>
      </c>
      <c r="X27" s="371">
        <v>39.6</v>
      </c>
    </row>
    <row r="29" spans="2:24" ht="15.75" customHeight="1" thickBot="1" x14ac:dyDescent="0.3">
      <c r="B29" s="993" t="s">
        <v>1257</v>
      </c>
      <c r="C29" s="993"/>
      <c r="D29" s="993"/>
      <c r="E29" s="993"/>
      <c r="F29" s="993"/>
      <c r="G29" s="993"/>
      <c r="H29" s="993"/>
      <c r="I29" s="993"/>
      <c r="J29" s="993"/>
      <c r="K29" s="993"/>
      <c r="L29" s="993"/>
      <c r="N29" s="951" t="s">
        <v>1264</v>
      </c>
      <c r="O29" s="951"/>
      <c r="P29" s="951"/>
      <c r="Q29" s="951"/>
      <c r="R29" s="951"/>
      <c r="S29" s="951"/>
      <c r="T29" s="951"/>
      <c r="U29" s="951"/>
      <c r="V29" s="951"/>
      <c r="W29" s="951"/>
      <c r="X29" s="951"/>
    </row>
    <row r="36" spans="2:24" x14ac:dyDescent="0.25">
      <c r="G36" s="358"/>
    </row>
    <row r="47" spans="2:24" x14ac:dyDescent="0.25">
      <c r="B47" s="992" t="s">
        <v>1258</v>
      </c>
      <c r="C47" s="992"/>
      <c r="D47" s="992"/>
      <c r="E47" s="992"/>
      <c r="F47" s="992"/>
      <c r="G47" s="992"/>
      <c r="H47" s="992"/>
      <c r="I47" s="992"/>
      <c r="J47" s="992"/>
      <c r="K47" s="992"/>
      <c r="L47" s="992"/>
      <c r="N47" s="992" t="s">
        <v>1263</v>
      </c>
      <c r="O47" s="992"/>
      <c r="P47" s="992"/>
      <c r="Q47" s="992"/>
      <c r="R47" s="992"/>
      <c r="S47" s="992"/>
      <c r="T47" s="992"/>
      <c r="U47" s="992"/>
      <c r="V47" s="992"/>
      <c r="W47" s="992"/>
      <c r="X47" s="992"/>
    </row>
    <row r="48" spans="2:24" x14ac:dyDescent="0.25">
      <c r="B48" s="350"/>
      <c r="C48" s="357">
        <v>2007</v>
      </c>
      <c r="D48" s="357">
        <v>2008</v>
      </c>
      <c r="E48" s="357">
        <v>2009</v>
      </c>
      <c r="F48" s="357">
        <v>2010</v>
      </c>
      <c r="G48" s="357">
        <v>2011</v>
      </c>
      <c r="H48" s="357">
        <v>2012</v>
      </c>
      <c r="I48" s="357">
        <v>2013</v>
      </c>
      <c r="J48" s="357">
        <v>2014</v>
      </c>
      <c r="K48" s="357">
        <v>2015</v>
      </c>
      <c r="L48" s="357">
        <v>2016</v>
      </c>
      <c r="N48" s="350"/>
      <c r="O48" s="351">
        <v>2007</v>
      </c>
      <c r="P48" s="351">
        <v>2008</v>
      </c>
      <c r="Q48" s="351">
        <v>2009</v>
      </c>
      <c r="R48" s="351">
        <v>2010</v>
      </c>
      <c r="S48" s="351">
        <v>2011</v>
      </c>
      <c r="T48" s="351">
        <v>2012</v>
      </c>
      <c r="U48" s="351">
        <v>2013</v>
      </c>
      <c r="V48" s="351">
        <v>2014</v>
      </c>
      <c r="W48" s="351">
        <v>2015</v>
      </c>
      <c r="X48" s="351">
        <v>2016</v>
      </c>
    </row>
    <row r="49" spans="2:24" x14ac:dyDescent="0.25">
      <c r="B49" s="349" t="s">
        <v>1156</v>
      </c>
      <c r="C49" s="352">
        <v>34.4</v>
      </c>
      <c r="D49" s="352">
        <v>34.5</v>
      </c>
      <c r="E49" s="352">
        <v>36.299999999999997</v>
      </c>
      <c r="F49" s="352">
        <v>34.700000000000003</v>
      </c>
      <c r="G49" s="352">
        <v>36.5</v>
      </c>
      <c r="H49" s="352">
        <v>36.299999999999997</v>
      </c>
      <c r="I49" s="352">
        <v>38.700000000000003</v>
      </c>
      <c r="J49" s="352">
        <v>39.299999999999997</v>
      </c>
      <c r="K49" s="352">
        <v>42.8</v>
      </c>
      <c r="L49" s="352">
        <v>40</v>
      </c>
      <c r="N49" s="349" t="s">
        <v>1156</v>
      </c>
      <c r="O49" s="352">
        <v>29.099999999999998</v>
      </c>
      <c r="P49" s="352">
        <v>28.8</v>
      </c>
      <c r="Q49" s="352">
        <v>28.799999999999997</v>
      </c>
      <c r="R49" s="352">
        <v>27.9</v>
      </c>
      <c r="S49" s="352">
        <v>28.400000000000002</v>
      </c>
      <c r="T49" s="352">
        <v>28.2</v>
      </c>
      <c r="U49" s="352">
        <v>30.200000000000003</v>
      </c>
      <c r="V49" s="352">
        <v>31.1</v>
      </c>
      <c r="W49" s="352">
        <v>32.200000000000003</v>
      </c>
      <c r="X49" s="352">
        <v>32.6</v>
      </c>
    </row>
    <row r="50" spans="2:24" x14ac:dyDescent="0.25">
      <c r="B50" s="349" t="s">
        <v>1259</v>
      </c>
      <c r="C50" s="353">
        <v>44.7</v>
      </c>
      <c r="D50" s="353">
        <v>44.4</v>
      </c>
      <c r="E50" s="353">
        <v>44.4</v>
      </c>
      <c r="F50" s="353">
        <v>44.3</v>
      </c>
      <c r="G50" s="353">
        <v>44.9</v>
      </c>
      <c r="H50" s="353">
        <v>46.1</v>
      </c>
      <c r="I50" s="353">
        <v>46.7</v>
      </c>
      <c r="J50" s="353">
        <v>46.7</v>
      </c>
      <c r="K50" s="353">
        <v>46.4</v>
      </c>
      <c r="L50" s="370">
        <v>46.2</v>
      </c>
      <c r="N50" s="349" t="s">
        <v>1259</v>
      </c>
      <c r="O50" s="353">
        <v>39.9</v>
      </c>
      <c r="P50" s="353">
        <v>39.300000000000004</v>
      </c>
      <c r="Q50" s="353">
        <v>39.1</v>
      </c>
      <c r="R50" s="353">
        <v>39.099999999999994</v>
      </c>
      <c r="S50" s="353">
        <v>39.499999999999993</v>
      </c>
      <c r="T50" s="353">
        <v>40.699999999999996</v>
      </c>
      <c r="U50" s="353">
        <v>41.3</v>
      </c>
      <c r="V50" s="353">
        <v>41.3</v>
      </c>
      <c r="W50" s="353">
        <v>41.199999999999996</v>
      </c>
      <c r="X50" s="370">
        <v>41.1</v>
      </c>
    </row>
    <row r="51" spans="2:24" x14ac:dyDescent="0.25">
      <c r="B51" s="349" t="s">
        <v>1157</v>
      </c>
      <c r="C51" s="352">
        <f>AVERAGE(C52:C54)</f>
        <v>41.866666666666667</v>
      </c>
      <c r="D51" s="352">
        <f t="shared" ref="D51:L51" si="2">AVERAGE(D52:D54)</f>
        <v>41.266666666666673</v>
      </c>
      <c r="E51" s="352">
        <f t="shared" si="2"/>
        <v>40.6</v>
      </c>
      <c r="F51" s="352">
        <f t="shared" si="2"/>
        <v>40.699999999999996</v>
      </c>
      <c r="G51" s="352">
        <f t="shared" si="2"/>
        <v>41.2</v>
      </c>
      <c r="H51" s="352">
        <f t="shared" si="2"/>
        <v>41.93333333333333</v>
      </c>
      <c r="I51" s="352">
        <f t="shared" si="2"/>
        <v>42.233333333333334</v>
      </c>
      <c r="J51" s="352">
        <f t="shared" si="2"/>
        <v>42</v>
      </c>
      <c r="K51" s="352">
        <f t="shared" si="2"/>
        <v>42.966666666666669</v>
      </c>
      <c r="L51" s="352">
        <f t="shared" si="2"/>
        <v>41.633333333333333</v>
      </c>
      <c r="N51" s="349" t="s">
        <v>1157</v>
      </c>
      <c r="O51" s="352">
        <f>AVERAGE(O52:O54)</f>
        <v>36.366666666666667</v>
      </c>
      <c r="P51" s="352">
        <f t="shared" ref="P51:X51" si="3">AVERAGE(P52:P54)</f>
        <v>35.699999999999996</v>
      </c>
      <c r="Q51" s="352">
        <f t="shared" si="3"/>
        <v>34.366666666666667</v>
      </c>
      <c r="R51" s="352">
        <f t="shared" si="3"/>
        <v>34</v>
      </c>
      <c r="S51" s="352">
        <f t="shared" si="3"/>
        <v>34.333333333333329</v>
      </c>
      <c r="T51" s="352">
        <f t="shared" si="3"/>
        <v>35.133333333333333</v>
      </c>
      <c r="U51" s="352">
        <f t="shared" si="3"/>
        <v>35.199999999999996</v>
      </c>
      <c r="V51" s="352">
        <f t="shared" si="3"/>
        <v>34.9</v>
      </c>
      <c r="W51" s="352">
        <f t="shared" si="3"/>
        <v>35.466666666666669</v>
      </c>
      <c r="X51" s="370">
        <f t="shared" si="3"/>
        <v>36.333333333333336</v>
      </c>
    </row>
    <row r="52" spans="2:24" x14ac:dyDescent="0.25">
      <c r="B52" s="354" t="s">
        <v>1252</v>
      </c>
      <c r="C52" s="352">
        <v>39.299999999999997</v>
      </c>
      <c r="D52" s="352">
        <v>38.1</v>
      </c>
      <c r="E52" s="352">
        <v>38.1</v>
      </c>
      <c r="F52" s="352">
        <v>38.6</v>
      </c>
      <c r="G52" s="352">
        <v>40.299999999999997</v>
      </c>
      <c r="H52" s="352">
        <v>40.5</v>
      </c>
      <c r="I52" s="352">
        <v>41.4</v>
      </c>
      <c r="J52" s="352">
        <v>40.299999999999997</v>
      </c>
      <c r="K52" s="352">
        <v>41.4</v>
      </c>
      <c r="L52" s="370">
        <v>40.5</v>
      </c>
      <c r="N52" s="354" t="s">
        <v>1252</v>
      </c>
      <c r="O52" s="352">
        <v>34.299999999999997</v>
      </c>
      <c r="P52" s="352">
        <v>32.9</v>
      </c>
      <c r="Q52" s="352">
        <v>32</v>
      </c>
      <c r="R52" s="352">
        <v>32.299999999999997</v>
      </c>
      <c r="S52" s="352">
        <v>33.599999999999994</v>
      </c>
      <c r="T52" s="352">
        <v>34.1</v>
      </c>
      <c r="U52" s="352">
        <v>34.700000000000003</v>
      </c>
      <c r="V52" s="352">
        <v>33.700000000000003</v>
      </c>
      <c r="W52" s="352">
        <v>34.200000000000003</v>
      </c>
      <c r="X52" s="370">
        <v>35</v>
      </c>
    </row>
    <row r="53" spans="2:24" x14ac:dyDescent="0.25">
      <c r="B53" s="354" t="s">
        <v>1253</v>
      </c>
      <c r="C53" s="352">
        <v>41.3</v>
      </c>
      <c r="D53" s="352">
        <v>40.6</v>
      </c>
      <c r="E53" s="352">
        <v>37.700000000000003</v>
      </c>
      <c r="F53" s="352">
        <v>38.5</v>
      </c>
      <c r="G53" s="352">
        <v>39.1</v>
      </c>
      <c r="H53" s="352">
        <v>39.1</v>
      </c>
      <c r="I53" s="352">
        <v>38.5</v>
      </c>
      <c r="J53" s="352">
        <v>38.799999999999997</v>
      </c>
      <c r="K53" s="352">
        <v>39</v>
      </c>
      <c r="L53" s="370">
        <v>38.799999999999997</v>
      </c>
      <c r="N53" s="354" t="s">
        <v>1253</v>
      </c>
      <c r="O53" s="352">
        <v>35.300000000000004</v>
      </c>
      <c r="P53" s="352">
        <v>34.799999999999997</v>
      </c>
      <c r="Q53" s="352">
        <v>31.9</v>
      </c>
      <c r="R53" s="352">
        <v>32.299999999999997</v>
      </c>
      <c r="S53" s="352">
        <v>32.699999999999996</v>
      </c>
      <c r="T53" s="352">
        <v>32.9</v>
      </c>
      <c r="U53" s="352">
        <v>32.9</v>
      </c>
      <c r="V53" s="352">
        <v>32.800000000000004</v>
      </c>
      <c r="W53" s="352">
        <v>33.200000000000003</v>
      </c>
      <c r="X53" s="370">
        <v>34.4</v>
      </c>
    </row>
    <row r="54" spans="2:24" x14ac:dyDescent="0.25">
      <c r="B54" s="355" t="s">
        <v>1254</v>
      </c>
      <c r="C54" s="356">
        <v>45</v>
      </c>
      <c r="D54" s="356">
        <v>45.1</v>
      </c>
      <c r="E54" s="356">
        <v>46</v>
      </c>
      <c r="F54" s="356">
        <v>45</v>
      </c>
      <c r="G54" s="356">
        <v>44.2</v>
      </c>
      <c r="H54" s="356">
        <v>46.2</v>
      </c>
      <c r="I54" s="356">
        <v>46.8</v>
      </c>
      <c r="J54" s="356">
        <v>46.9</v>
      </c>
      <c r="K54" s="356">
        <v>48.5</v>
      </c>
      <c r="L54" s="371">
        <v>45.6</v>
      </c>
      <c r="N54" s="355" t="s">
        <v>1254</v>
      </c>
      <c r="O54" s="356">
        <v>39.5</v>
      </c>
      <c r="P54" s="356">
        <v>39.4</v>
      </c>
      <c r="Q54" s="356">
        <v>39.199999999999996</v>
      </c>
      <c r="R54" s="356">
        <v>37.4</v>
      </c>
      <c r="S54" s="356">
        <v>36.700000000000003</v>
      </c>
      <c r="T54" s="356">
        <v>38.400000000000006</v>
      </c>
      <c r="U54" s="356">
        <v>38</v>
      </c>
      <c r="V54" s="356">
        <v>38.200000000000003</v>
      </c>
      <c r="W54" s="356">
        <v>39</v>
      </c>
      <c r="X54" s="371">
        <v>39.6</v>
      </c>
    </row>
  </sheetData>
  <mergeCells count="8">
    <mergeCell ref="N47:X47"/>
    <mergeCell ref="N29:X29"/>
    <mergeCell ref="B20:L20"/>
    <mergeCell ref="B47:L47"/>
    <mergeCell ref="B2:L2"/>
    <mergeCell ref="B29:L29"/>
    <mergeCell ref="N2:X2"/>
    <mergeCell ref="N20:X20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6">
    <pageSetUpPr fitToPage="1"/>
  </sheetPr>
  <dimension ref="B3:Q57"/>
  <sheetViews>
    <sheetView showGridLines="0" zoomScale="85" zoomScaleNormal="85" workbookViewId="0">
      <selection activeCell="F51" sqref="F51"/>
    </sheetView>
  </sheetViews>
  <sheetFormatPr defaultColWidth="9.140625" defaultRowHeight="13.5" x14ac:dyDescent="0.25"/>
  <cols>
    <col min="1" max="1" width="12.140625" style="359" customWidth="1"/>
    <col min="2" max="2" width="26.140625" style="359" customWidth="1"/>
    <col min="3" max="7" width="10.42578125" style="359" customWidth="1"/>
    <col min="8" max="8" width="10.42578125" style="361" customWidth="1"/>
    <col min="9" max="9" width="11.140625" style="361" customWidth="1"/>
    <col min="10" max="10" width="18.28515625" style="361" customWidth="1"/>
    <col min="11" max="11" width="16.5703125" style="361" customWidth="1"/>
    <col min="12" max="12" width="16.28515625" style="361" customWidth="1"/>
    <col min="13" max="14" width="13.28515625" style="359" customWidth="1"/>
    <col min="15" max="16384" width="9.140625" style="359"/>
  </cols>
  <sheetData>
    <row r="3" spans="2:16" ht="14.25" thickBot="1" x14ac:dyDescent="0.3">
      <c r="B3" s="995" t="s">
        <v>1272</v>
      </c>
      <c r="C3" s="995"/>
      <c r="D3" s="995"/>
      <c r="E3" s="995"/>
      <c r="F3" s="995"/>
      <c r="G3" s="995"/>
      <c r="H3" s="995"/>
      <c r="I3" s="360"/>
      <c r="J3" s="603" t="s">
        <v>1283</v>
      </c>
      <c r="K3" s="603"/>
      <c r="L3" s="603"/>
      <c r="M3" s="603"/>
      <c r="N3" s="603"/>
      <c r="O3" s="604"/>
      <c r="P3" s="604"/>
    </row>
    <row r="4" spans="2:16" x14ac:dyDescent="0.25">
      <c r="F4" s="360"/>
      <c r="G4" s="360"/>
      <c r="H4" s="360"/>
      <c r="I4" s="360"/>
      <c r="J4" s="360"/>
      <c r="K4" s="360"/>
      <c r="L4" s="360"/>
    </row>
    <row r="5" spans="2:16" x14ac:dyDescent="0.25">
      <c r="F5" s="360"/>
      <c r="G5" s="360"/>
      <c r="H5" s="360"/>
      <c r="I5" s="360"/>
      <c r="J5" s="360"/>
      <c r="K5" s="360"/>
      <c r="L5" s="360"/>
    </row>
    <row r="6" spans="2:16" x14ac:dyDescent="0.25">
      <c r="F6" s="360"/>
      <c r="G6" s="360"/>
      <c r="H6" s="360"/>
      <c r="I6" s="360"/>
      <c r="J6" s="360"/>
      <c r="K6" s="360"/>
      <c r="L6" s="360"/>
    </row>
    <row r="7" spans="2:16" x14ac:dyDescent="0.25">
      <c r="F7" s="360"/>
      <c r="G7" s="360"/>
      <c r="H7" s="360"/>
      <c r="I7" s="360"/>
      <c r="J7" s="360"/>
      <c r="K7" s="360"/>
      <c r="L7" s="360"/>
    </row>
    <row r="8" spans="2:16" x14ac:dyDescent="0.25">
      <c r="F8" s="360"/>
      <c r="G8" s="360"/>
      <c r="H8" s="360"/>
      <c r="I8" s="360"/>
      <c r="J8" s="360"/>
      <c r="K8" s="360"/>
      <c r="L8" s="360"/>
    </row>
    <row r="9" spans="2:16" x14ac:dyDescent="0.25">
      <c r="F9" s="360"/>
      <c r="G9" s="360"/>
      <c r="H9" s="360"/>
      <c r="I9" s="360"/>
      <c r="J9" s="360"/>
      <c r="K9" s="360"/>
      <c r="L9" s="360"/>
    </row>
    <row r="10" spans="2:16" x14ac:dyDescent="0.25">
      <c r="F10" s="360"/>
      <c r="G10" s="360"/>
      <c r="H10" s="360"/>
      <c r="I10" s="360"/>
      <c r="J10" s="360"/>
      <c r="K10" s="360"/>
      <c r="L10" s="360"/>
    </row>
    <row r="11" spans="2:16" x14ac:dyDescent="0.25">
      <c r="F11" s="360"/>
      <c r="G11" s="360"/>
      <c r="H11" s="360"/>
      <c r="I11" s="360"/>
      <c r="J11" s="360"/>
      <c r="K11" s="360"/>
      <c r="L11" s="360"/>
    </row>
    <row r="12" spans="2:16" x14ac:dyDescent="0.25">
      <c r="F12" s="360"/>
      <c r="G12" s="360"/>
      <c r="H12" s="360"/>
      <c r="I12" s="360"/>
      <c r="J12" s="360"/>
      <c r="K12" s="360"/>
      <c r="L12" s="360"/>
    </row>
    <row r="13" spans="2:16" x14ac:dyDescent="0.25">
      <c r="F13" s="360"/>
      <c r="G13" s="360"/>
      <c r="H13" s="360"/>
      <c r="I13" s="360"/>
      <c r="J13" s="360"/>
      <c r="K13" s="360"/>
      <c r="L13" s="360"/>
    </row>
    <row r="14" spans="2:16" x14ac:dyDescent="0.25">
      <c r="F14" s="360"/>
      <c r="G14" s="360"/>
      <c r="H14" s="360"/>
      <c r="I14" s="360"/>
      <c r="J14" s="360"/>
      <c r="K14" s="360"/>
      <c r="L14" s="360"/>
    </row>
    <row r="15" spans="2:16" x14ac:dyDescent="0.25">
      <c r="F15" s="360"/>
      <c r="G15" s="360"/>
      <c r="H15" s="360"/>
      <c r="I15" s="360"/>
      <c r="J15" s="360"/>
      <c r="K15" s="360"/>
      <c r="L15" s="360"/>
    </row>
    <row r="16" spans="2:16" x14ac:dyDescent="0.25">
      <c r="F16" s="360"/>
      <c r="G16" s="360"/>
      <c r="H16" s="360"/>
      <c r="I16" s="360"/>
      <c r="J16" s="360"/>
      <c r="K16" s="360"/>
      <c r="L16" s="360"/>
    </row>
    <row r="17" spans="2:17" x14ac:dyDescent="0.25">
      <c r="F17" s="360"/>
      <c r="G17" s="360"/>
      <c r="H17" s="360"/>
      <c r="I17" s="360"/>
      <c r="J17" s="360"/>
      <c r="K17" s="360"/>
      <c r="L17" s="360"/>
    </row>
    <row r="18" spans="2:17" x14ac:dyDescent="0.25">
      <c r="F18" s="360"/>
      <c r="G18" s="360"/>
      <c r="H18" s="360"/>
      <c r="I18" s="360"/>
      <c r="J18" s="360"/>
      <c r="K18" s="360"/>
      <c r="L18" s="360"/>
    </row>
    <row r="20" spans="2:17" ht="14.25" thickBot="1" x14ac:dyDescent="0.3">
      <c r="B20" s="995" t="s">
        <v>1273</v>
      </c>
      <c r="C20" s="995"/>
      <c r="D20" s="995"/>
      <c r="E20" s="995"/>
      <c r="F20" s="995"/>
      <c r="G20" s="995"/>
      <c r="H20" s="995"/>
      <c r="I20" s="373"/>
      <c r="J20" s="994" t="s">
        <v>1288</v>
      </c>
      <c r="K20" s="994"/>
      <c r="L20" s="994"/>
      <c r="M20" s="994"/>
      <c r="N20" s="994"/>
    </row>
    <row r="21" spans="2:17" s="361" customFormat="1" x14ac:dyDescent="0.25">
      <c r="B21" s="362"/>
      <c r="C21" s="363">
        <v>2015</v>
      </c>
      <c r="D21" s="363">
        <v>2016</v>
      </c>
      <c r="E21" s="363">
        <v>2017</v>
      </c>
      <c r="F21" s="363">
        <v>2018</v>
      </c>
      <c r="G21" s="363">
        <v>2019</v>
      </c>
      <c r="H21" s="363">
        <v>2020</v>
      </c>
      <c r="J21" s="374"/>
      <c r="K21" s="374" t="s">
        <v>1284</v>
      </c>
      <c r="L21" s="374" t="s">
        <v>1253</v>
      </c>
      <c r="M21" s="374" t="s">
        <v>1254</v>
      </c>
      <c r="N21" s="374" t="s">
        <v>1285</v>
      </c>
      <c r="O21" s="359"/>
      <c r="P21" s="359"/>
      <c r="Q21" s="359"/>
    </row>
    <row r="22" spans="2:17" s="361" customFormat="1" x14ac:dyDescent="0.25">
      <c r="B22" s="605" t="s">
        <v>1265</v>
      </c>
      <c r="C22" s="364">
        <v>7.8383276809429496</v>
      </c>
      <c r="D22" s="364">
        <v>8.1330310552698162</v>
      </c>
      <c r="E22" s="364">
        <v>8.219277687565075</v>
      </c>
      <c r="F22" s="364">
        <v>8.1708251726337711</v>
      </c>
      <c r="G22" s="364">
        <v>8.0814978214282736</v>
      </c>
      <c r="H22" s="364">
        <v>8.0548020741858242</v>
      </c>
      <c r="J22" s="373" t="s">
        <v>1289</v>
      </c>
      <c r="K22" s="372">
        <v>0.37113639819231159</v>
      </c>
      <c r="L22" s="372">
        <v>0.40156326331216413</v>
      </c>
      <c r="M22" s="372">
        <v>0.48883155349145457</v>
      </c>
      <c r="N22" s="372">
        <v>0.34445800935282911</v>
      </c>
      <c r="O22" s="359"/>
      <c r="P22" s="359"/>
      <c r="Q22" s="359"/>
    </row>
    <row r="23" spans="2:17" s="361" customFormat="1" x14ac:dyDescent="0.25">
      <c r="B23" s="606" t="s">
        <v>1267</v>
      </c>
      <c r="C23" s="364">
        <v>6.8883918390768493</v>
      </c>
      <c r="D23" s="364">
        <v>6.6889087334712451</v>
      </c>
      <c r="E23" s="364">
        <v>6.8987144910439708</v>
      </c>
      <c r="F23" s="364">
        <v>6.7643540643081783</v>
      </c>
      <c r="G23" s="364">
        <v>6.6454297378366949</v>
      </c>
      <c r="H23" s="364">
        <v>6.5658499973548059</v>
      </c>
      <c r="J23" s="375" t="s">
        <v>1290</v>
      </c>
      <c r="K23" s="376">
        <v>0.62886360180768841</v>
      </c>
      <c r="L23" s="376">
        <v>0.59843673668783581</v>
      </c>
      <c r="M23" s="376">
        <v>0.51116844650854543</v>
      </c>
      <c r="N23" s="376">
        <v>0.65554199064717089</v>
      </c>
      <c r="O23" s="359"/>
      <c r="P23" s="359"/>
      <c r="Q23" s="359"/>
    </row>
    <row r="24" spans="2:17" s="361" customFormat="1" x14ac:dyDescent="0.25">
      <c r="B24" s="365" t="s">
        <v>1268</v>
      </c>
      <c r="C24" s="366">
        <v>4.2574049045001106</v>
      </c>
      <c r="D24" s="366">
        <v>4.3611524448940457</v>
      </c>
      <c r="E24" s="366">
        <v>4.1921509146710649</v>
      </c>
      <c r="F24" s="366">
        <v>4.1600821479334309</v>
      </c>
      <c r="G24" s="366">
        <v>4.0026003578363518</v>
      </c>
      <c r="H24" s="366">
        <v>3.8902296645233281</v>
      </c>
      <c r="M24" s="359"/>
      <c r="N24" s="359"/>
      <c r="O24" s="359"/>
      <c r="P24" s="359"/>
      <c r="Q24" s="359"/>
    </row>
    <row r="25" spans="2:17" s="361" customFormat="1" ht="14.25" thickBot="1" x14ac:dyDescent="0.3">
      <c r="B25" s="607" t="s">
        <v>1266</v>
      </c>
      <c r="C25" s="364">
        <v>3.6706156900890954</v>
      </c>
      <c r="D25" s="364">
        <v>3.6824567637808858</v>
      </c>
      <c r="E25" s="364">
        <v>3.8574195103846338</v>
      </c>
      <c r="F25" s="364">
        <v>3.8669080368434603</v>
      </c>
      <c r="G25" s="364">
        <v>3.8761365744909315</v>
      </c>
      <c r="H25" s="364">
        <v>3.910353791200913</v>
      </c>
      <c r="J25" s="995" t="s">
        <v>1291</v>
      </c>
      <c r="K25" s="995"/>
      <c r="L25" s="995"/>
      <c r="M25" s="995"/>
      <c r="N25" s="995"/>
      <c r="O25" s="359"/>
      <c r="P25" s="359"/>
      <c r="Q25" s="359"/>
    </row>
    <row r="26" spans="2:17" s="361" customFormat="1" x14ac:dyDescent="0.25">
      <c r="B26" s="365" t="s">
        <v>1269</v>
      </c>
      <c r="C26" s="364">
        <v>3.7431559275744557</v>
      </c>
      <c r="D26" s="364">
        <v>3.7780551012596608</v>
      </c>
      <c r="E26" s="364">
        <v>3.6492257681784062</v>
      </c>
      <c r="F26" s="364">
        <v>3.5873946570267821</v>
      </c>
      <c r="G26" s="364">
        <v>3.5667135137922181</v>
      </c>
      <c r="H26" s="364">
        <v>3.6040850537661449</v>
      </c>
      <c r="M26" s="359"/>
      <c r="N26" s="359"/>
      <c r="O26" s="359"/>
      <c r="P26" s="359"/>
      <c r="Q26" s="359"/>
    </row>
    <row r="27" spans="2:17" s="361" customFormat="1" x14ac:dyDescent="0.25">
      <c r="B27" s="365" t="s">
        <v>1270</v>
      </c>
      <c r="C27" s="364">
        <v>3.1319755450069096</v>
      </c>
      <c r="D27" s="364">
        <v>3.3278523300673277</v>
      </c>
      <c r="E27" s="364">
        <v>3.3636807281199297</v>
      </c>
      <c r="F27" s="364">
        <v>3.3986804848294931</v>
      </c>
      <c r="G27" s="364">
        <v>3.4107366408882838</v>
      </c>
      <c r="H27" s="364">
        <v>3.4170401764871317</v>
      </c>
      <c r="M27" s="359"/>
      <c r="N27" s="359"/>
      <c r="O27" s="359"/>
      <c r="P27" s="359"/>
      <c r="Q27" s="359"/>
    </row>
    <row r="28" spans="2:17" s="361" customFormat="1" x14ac:dyDescent="0.25">
      <c r="B28" s="362" t="s">
        <v>1271</v>
      </c>
      <c r="C28" s="364">
        <v>2.679300641611615</v>
      </c>
      <c r="D28" s="364">
        <v>2.6852009661206564</v>
      </c>
      <c r="E28" s="364">
        <v>2.6899426949653744</v>
      </c>
      <c r="F28" s="364">
        <v>2.6167877248156151</v>
      </c>
      <c r="G28" s="364">
        <v>2.561722289621259</v>
      </c>
      <c r="H28" s="364">
        <v>2.4821602759071277</v>
      </c>
      <c r="M28" s="359"/>
      <c r="N28" s="359"/>
      <c r="O28" s="359"/>
      <c r="P28" s="359"/>
      <c r="Q28" s="359"/>
    </row>
    <row r="29" spans="2:17" s="361" customFormat="1" x14ac:dyDescent="0.25">
      <c r="B29" s="367" t="s">
        <v>54</v>
      </c>
      <c r="C29" s="368">
        <f t="shared" ref="C29:H29" si="0">SUM(C22:C28)</f>
        <v>32.209172228801989</v>
      </c>
      <c r="D29" s="368">
        <f t="shared" si="0"/>
        <v>32.656657394863636</v>
      </c>
      <c r="E29" s="368">
        <f t="shared" si="0"/>
        <v>32.870411794928458</v>
      </c>
      <c r="F29" s="368">
        <f t="shared" si="0"/>
        <v>32.565032288390732</v>
      </c>
      <c r="G29" s="368">
        <f t="shared" si="0"/>
        <v>32.14483693589402</v>
      </c>
      <c r="H29" s="368">
        <f t="shared" si="0"/>
        <v>31.924521033425272</v>
      </c>
      <c r="M29" s="359"/>
      <c r="N29" s="359"/>
      <c r="O29" s="359"/>
      <c r="P29" s="359"/>
      <c r="Q29" s="359"/>
    </row>
    <row r="30" spans="2:17" s="361" customFormat="1" x14ac:dyDescent="0.25">
      <c r="B30" s="359"/>
      <c r="C30" s="359"/>
      <c r="D30" s="359"/>
      <c r="E30" s="359"/>
      <c r="F30" s="369"/>
      <c r="G30" s="369"/>
      <c r="H30" s="369"/>
      <c r="I30" s="369"/>
      <c r="J30" s="369"/>
      <c r="K30" s="369"/>
      <c r="M30" s="359"/>
      <c r="N30" s="359"/>
      <c r="O30" s="359"/>
      <c r="P30" s="359"/>
      <c r="Q30" s="359"/>
    </row>
    <row r="31" spans="2:17" ht="14.25" thickBot="1" x14ac:dyDescent="0.3">
      <c r="B31" s="995" t="s">
        <v>1274</v>
      </c>
      <c r="C31" s="995"/>
      <c r="D31" s="995"/>
      <c r="E31" s="995"/>
      <c r="F31" s="995"/>
      <c r="G31" s="995"/>
      <c r="H31" s="995"/>
    </row>
    <row r="32" spans="2:17" x14ac:dyDescent="0.25">
      <c r="F32" s="360"/>
      <c r="G32" s="360"/>
      <c r="H32" s="360"/>
    </row>
    <row r="33" spans="2:14" x14ac:dyDescent="0.25">
      <c r="F33" s="360"/>
      <c r="G33" s="360"/>
      <c r="H33" s="360"/>
    </row>
    <row r="34" spans="2:14" x14ac:dyDescent="0.25">
      <c r="F34" s="360"/>
      <c r="G34" s="360"/>
      <c r="H34" s="360"/>
    </row>
    <row r="35" spans="2:14" x14ac:dyDescent="0.25">
      <c r="F35" s="360"/>
      <c r="G35" s="360"/>
      <c r="H35" s="360"/>
    </row>
    <row r="36" spans="2:14" x14ac:dyDescent="0.25">
      <c r="F36" s="360"/>
      <c r="G36" s="360"/>
      <c r="H36" s="360"/>
    </row>
    <row r="37" spans="2:14" x14ac:dyDescent="0.25">
      <c r="F37" s="360"/>
      <c r="G37" s="360"/>
      <c r="H37" s="360"/>
    </row>
    <row r="38" spans="2:14" x14ac:dyDescent="0.25">
      <c r="F38" s="360"/>
      <c r="G38" s="360"/>
      <c r="H38" s="360"/>
    </row>
    <row r="39" spans="2:14" x14ac:dyDescent="0.25">
      <c r="F39" s="360"/>
      <c r="G39" s="360"/>
      <c r="H39" s="360"/>
    </row>
    <row r="40" spans="2:14" x14ac:dyDescent="0.25">
      <c r="F40" s="360"/>
      <c r="G40" s="360"/>
      <c r="H40" s="360"/>
    </row>
    <row r="41" spans="2:14" x14ac:dyDescent="0.25">
      <c r="F41" s="360"/>
      <c r="G41" s="360"/>
      <c r="H41" s="360"/>
    </row>
    <row r="42" spans="2:14" ht="14.25" thickBot="1" x14ac:dyDescent="0.3">
      <c r="F42" s="360"/>
      <c r="G42" s="360"/>
      <c r="H42" s="360"/>
      <c r="J42" s="994" t="s">
        <v>1292</v>
      </c>
      <c r="K42" s="994"/>
      <c r="L42" s="994"/>
      <c r="M42" s="994"/>
      <c r="N42" s="994"/>
    </row>
    <row r="43" spans="2:14" x14ac:dyDescent="0.25">
      <c r="F43" s="360"/>
      <c r="G43" s="360"/>
      <c r="H43" s="360"/>
      <c r="J43" s="374"/>
      <c r="K43" s="374" t="s">
        <v>1284</v>
      </c>
      <c r="L43" s="374" t="s">
        <v>1253</v>
      </c>
      <c r="M43" s="374" t="s">
        <v>1254</v>
      </c>
      <c r="N43" s="374" t="s">
        <v>1285</v>
      </c>
    </row>
    <row r="44" spans="2:14" x14ac:dyDescent="0.25">
      <c r="F44" s="360"/>
      <c r="G44" s="360"/>
      <c r="H44" s="360"/>
      <c r="J44" s="361" t="s">
        <v>1286</v>
      </c>
      <c r="K44" s="372">
        <v>0.37113639819231159</v>
      </c>
      <c r="L44" s="372">
        <v>0.40156326331216413</v>
      </c>
      <c r="M44" s="372">
        <v>0.48883155349145457</v>
      </c>
      <c r="N44" s="372">
        <v>0.34445800935282911</v>
      </c>
    </row>
    <row r="45" spans="2:14" x14ac:dyDescent="0.25">
      <c r="F45" s="360"/>
      <c r="G45" s="360"/>
      <c r="H45" s="360"/>
      <c r="J45" s="374" t="s">
        <v>1287</v>
      </c>
      <c r="K45" s="376">
        <v>0.62886360180768841</v>
      </c>
      <c r="L45" s="376">
        <v>0.59843673668783581</v>
      </c>
      <c r="M45" s="376">
        <v>0.51116844650854543</v>
      </c>
      <c r="N45" s="376">
        <v>0.65554199064717089</v>
      </c>
    </row>
    <row r="46" spans="2:14" x14ac:dyDescent="0.25">
      <c r="F46" s="360"/>
      <c r="G46" s="360"/>
      <c r="H46" s="360"/>
    </row>
    <row r="48" spans="2:14" ht="14.25" thickBot="1" x14ac:dyDescent="0.3">
      <c r="B48" s="995" t="s">
        <v>1275</v>
      </c>
      <c r="C48" s="995"/>
      <c r="D48" s="995"/>
      <c r="E48" s="995"/>
      <c r="F48" s="995"/>
      <c r="G48" s="995"/>
      <c r="H48" s="995"/>
    </row>
    <row r="49" spans="2:8" x14ac:dyDescent="0.25">
      <c r="B49" s="362"/>
      <c r="C49" s="363">
        <v>2015</v>
      </c>
      <c r="D49" s="363">
        <v>2016</v>
      </c>
      <c r="E49" s="363">
        <v>2017</v>
      </c>
      <c r="F49" s="363">
        <v>2018</v>
      </c>
      <c r="G49" s="363">
        <v>2019</v>
      </c>
      <c r="H49" s="363">
        <v>2020</v>
      </c>
    </row>
    <row r="50" spans="2:8" x14ac:dyDescent="0.25">
      <c r="B50" s="605" t="s">
        <v>1278</v>
      </c>
      <c r="C50" s="364">
        <v>7.8383276809429496</v>
      </c>
      <c r="D50" s="364">
        <v>8.1330310552698162</v>
      </c>
      <c r="E50" s="364">
        <v>8.219277687565075</v>
      </c>
      <c r="F50" s="364">
        <v>8.1708251726337711</v>
      </c>
      <c r="G50" s="364">
        <v>8.0814978214282736</v>
      </c>
      <c r="H50" s="364">
        <v>8.0548020741858242</v>
      </c>
    </row>
    <row r="51" spans="2:8" x14ac:dyDescent="0.25">
      <c r="B51" s="606" t="s">
        <v>1276</v>
      </c>
      <c r="C51" s="364">
        <v>6.8883918390768493</v>
      </c>
      <c r="D51" s="364">
        <v>6.6889087334712451</v>
      </c>
      <c r="E51" s="364">
        <v>6.8987144910439708</v>
      </c>
      <c r="F51" s="364">
        <v>6.7643540643081783</v>
      </c>
      <c r="G51" s="364">
        <v>6.6454297378366949</v>
      </c>
      <c r="H51" s="364">
        <v>6.5658499973548059</v>
      </c>
    </row>
    <row r="52" spans="2:8" x14ac:dyDescent="0.25">
      <c r="B52" s="365" t="s">
        <v>1277</v>
      </c>
      <c r="C52" s="366">
        <v>4.2574049045001106</v>
      </c>
      <c r="D52" s="366">
        <v>4.3611524448940457</v>
      </c>
      <c r="E52" s="366">
        <v>4.1921509146710649</v>
      </c>
      <c r="F52" s="366">
        <v>4.1600821479334309</v>
      </c>
      <c r="G52" s="366">
        <v>4.0026003578363518</v>
      </c>
      <c r="H52" s="366">
        <v>3.8902296645233281</v>
      </c>
    </row>
    <row r="53" spans="2:8" x14ac:dyDescent="0.25">
      <c r="B53" s="607" t="s">
        <v>1282</v>
      </c>
      <c r="C53" s="364">
        <v>3.6706156900890954</v>
      </c>
      <c r="D53" s="364">
        <v>3.6824567637808858</v>
      </c>
      <c r="E53" s="364">
        <v>3.8574195103846338</v>
      </c>
      <c r="F53" s="364">
        <v>3.8669080368434603</v>
      </c>
      <c r="G53" s="364">
        <v>3.8761365744909315</v>
      </c>
      <c r="H53" s="364">
        <v>3.910353791200913</v>
      </c>
    </row>
    <row r="54" spans="2:8" x14ac:dyDescent="0.25">
      <c r="B54" s="365" t="s">
        <v>1279</v>
      </c>
      <c r="C54" s="364">
        <v>3.7431559275744557</v>
      </c>
      <c r="D54" s="364">
        <v>3.7780551012596608</v>
      </c>
      <c r="E54" s="364">
        <v>3.6492257681784062</v>
      </c>
      <c r="F54" s="364">
        <v>3.5873946570267821</v>
      </c>
      <c r="G54" s="364">
        <v>3.5667135137922181</v>
      </c>
      <c r="H54" s="364">
        <v>3.6040850537661449</v>
      </c>
    </row>
    <row r="55" spans="2:8" x14ac:dyDescent="0.25">
      <c r="B55" s="365" t="s">
        <v>1280</v>
      </c>
      <c r="C55" s="364">
        <v>3.1319755450069096</v>
      </c>
      <c r="D55" s="364">
        <v>3.3278523300673277</v>
      </c>
      <c r="E55" s="364">
        <v>3.3636807281199297</v>
      </c>
      <c r="F55" s="364">
        <v>3.3986804848294931</v>
      </c>
      <c r="G55" s="364">
        <v>3.4107366408882838</v>
      </c>
      <c r="H55" s="364">
        <v>3.4170401764871317</v>
      </c>
    </row>
    <row r="56" spans="2:8" x14ac:dyDescent="0.25">
      <c r="B56" s="362" t="s">
        <v>1281</v>
      </c>
      <c r="C56" s="364">
        <v>2.679300641611615</v>
      </c>
      <c r="D56" s="364">
        <v>2.6852009661206564</v>
      </c>
      <c r="E56" s="364">
        <v>2.6899426949653744</v>
      </c>
      <c r="F56" s="364">
        <v>2.6167877248156151</v>
      </c>
      <c r="G56" s="364">
        <v>2.561722289621259</v>
      </c>
      <c r="H56" s="364">
        <v>2.4821602759071277</v>
      </c>
    </row>
    <row r="57" spans="2:8" x14ac:dyDescent="0.25">
      <c r="B57" s="367" t="s">
        <v>451</v>
      </c>
      <c r="C57" s="368">
        <f t="shared" ref="C57:H57" si="1">SUM(C50:C56)</f>
        <v>32.209172228801989</v>
      </c>
      <c r="D57" s="368">
        <f t="shared" si="1"/>
        <v>32.656657394863636</v>
      </c>
      <c r="E57" s="368">
        <f t="shared" si="1"/>
        <v>32.870411794928458</v>
      </c>
      <c r="F57" s="368">
        <f t="shared" si="1"/>
        <v>32.565032288390732</v>
      </c>
      <c r="G57" s="368">
        <f t="shared" si="1"/>
        <v>32.14483693589402</v>
      </c>
      <c r="H57" s="368">
        <f t="shared" si="1"/>
        <v>31.924521033425272</v>
      </c>
    </row>
  </sheetData>
  <mergeCells count="7">
    <mergeCell ref="J42:N42"/>
    <mergeCell ref="B3:H3"/>
    <mergeCell ref="B20:H20"/>
    <mergeCell ref="B31:H31"/>
    <mergeCell ref="B48:H48"/>
    <mergeCell ref="J20:N20"/>
    <mergeCell ref="J25:N25"/>
  </mergeCells>
  <pageMargins left="0" right="0" top="0" bottom="0" header="0" footer="0"/>
  <pageSetup paperSize="8" scale="88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7"/>
  <dimension ref="B2:K87"/>
  <sheetViews>
    <sheetView showGridLines="0" zoomScale="85" zoomScaleNormal="85" workbookViewId="0"/>
  </sheetViews>
  <sheetFormatPr defaultRowHeight="13.5" x14ac:dyDescent="0.25"/>
  <cols>
    <col min="1" max="1" width="17.140625" style="379" customWidth="1"/>
    <col min="2" max="2" width="43.7109375" style="379" customWidth="1"/>
    <col min="3" max="3" width="13.28515625" style="379" customWidth="1"/>
    <col min="4" max="5" width="9.140625" style="379" customWidth="1"/>
    <col min="6" max="6" width="9.140625" style="379"/>
    <col min="7" max="7" width="15.5703125" style="379" customWidth="1"/>
    <col min="8" max="8" width="11" style="379" customWidth="1"/>
    <col min="9" max="9" width="15.28515625" style="379" customWidth="1"/>
    <col min="10" max="11" width="19.85546875" style="379" customWidth="1"/>
    <col min="12" max="12" width="11.85546875" style="379" bestFit="1" customWidth="1"/>
    <col min="13" max="16384" width="9.140625" style="379"/>
  </cols>
  <sheetData>
    <row r="2" spans="2:11" ht="14.25" thickBot="1" x14ac:dyDescent="0.3">
      <c r="B2" s="951" t="s">
        <v>1330</v>
      </c>
      <c r="C2" s="951"/>
      <c r="D2" s="951"/>
      <c r="E2" s="951"/>
      <c r="G2" s="999" t="s">
        <v>1301</v>
      </c>
      <c r="H2" s="999"/>
      <c r="I2" s="999"/>
      <c r="J2" s="999"/>
      <c r="K2" s="999"/>
    </row>
    <row r="17" spans="2:11" x14ac:dyDescent="0.25">
      <c r="I17" s="380"/>
      <c r="J17" s="380"/>
      <c r="K17" s="380"/>
    </row>
    <row r="18" spans="2:11" x14ac:dyDescent="0.25">
      <c r="I18" s="380"/>
      <c r="J18" s="380"/>
      <c r="K18" s="380"/>
    </row>
    <row r="19" spans="2:11" x14ac:dyDescent="0.25">
      <c r="I19" s="380"/>
      <c r="J19" s="380"/>
      <c r="K19" s="380"/>
    </row>
    <row r="20" spans="2:11" ht="14.25" thickBot="1" x14ac:dyDescent="0.3">
      <c r="B20" s="999" t="s">
        <v>1331</v>
      </c>
      <c r="C20" s="999"/>
      <c r="G20" s="999" t="s">
        <v>1302</v>
      </c>
      <c r="H20" s="999"/>
      <c r="I20" s="999"/>
      <c r="J20" s="999"/>
      <c r="K20" s="999"/>
    </row>
    <row r="21" spans="2:11" x14ac:dyDescent="0.25">
      <c r="B21" s="379" t="s">
        <v>1310</v>
      </c>
      <c r="C21" s="382">
        <v>57.1</v>
      </c>
      <c r="D21" s="383">
        <v>41.187142857142852</v>
      </c>
      <c r="E21" s="383">
        <v>32.266666666666666</v>
      </c>
      <c r="G21" s="377"/>
      <c r="H21" s="377"/>
      <c r="I21" s="378" t="s">
        <v>1293</v>
      </c>
      <c r="J21" s="378" t="s">
        <v>1294</v>
      </c>
      <c r="K21" s="378" t="s">
        <v>1295</v>
      </c>
    </row>
    <row r="22" spans="2:11" x14ac:dyDescent="0.25">
      <c r="B22" s="379" t="s">
        <v>1311</v>
      </c>
      <c r="C22" s="382">
        <v>55</v>
      </c>
      <c r="D22" s="383">
        <v>41.187142857142852</v>
      </c>
      <c r="E22" s="383">
        <v>32.266666666666666</v>
      </c>
      <c r="G22" s="996" t="s">
        <v>1299</v>
      </c>
      <c r="H22" s="379" t="s">
        <v>1296</v>
      </c>
      <c r="I22" s="380">
        <v>13.174444881481479</v>
      </c>
      <c r="J22" s="380">
        <v>9.6629024177777776</v>
      </c>
      <c r="K22" s="380">
        <v>17.823495046296294</v>
      </c>
    </row>
    <row r="23" spans="2:11" x14ac:dyDescent="0.25">
      <c r="B23" s="379" t="s">
        <v>1312</v>
      </c>
      <c r="C23" s="382">
        <v>53.2</v>
      </c>
      <c r="D23" s="383">
        <v>41.187142857142852</v>
      </c>
      <c r="E23" s="383">
        <v>32.266666666666666</v>
      </c>
      <c r="G23" s="997"/>
      <c r="H23" s="379" t="s">
        <v>1251</v>
      </c>
      <c r="I23" s="380">
        <v>8.8832903400000003</v>
      </c>
      <c r="J23" s="380">
        <v>12.623450253333333</v>
      </c>
      <c r="K23" s="380">
        <v>20.64028592</v>
      </c>
    </row>
    <row r="24" spans="2:11" x14ac:dyDescent="0.25">
      <c r="B24" s="379" t="s">
        <v>1313</v>
      </c>
      <c r="C24" s="382">
        <v>50.5</v>
      </c>
      <c r="D24" s="383">
        <v>41.187142857142852</v>
      </c>
      <c r="E24" s="383">
        <v>32.266666666666666</v>
      </c>
      <c r="G24" s="997"/>
      <c r="H24" s="379" t="s">
        <v>1298</v>
      </c>
      <c r="I24" s="380">
        <v>7.2755705832628896</v>
      </c>
      <c r="J24" s="380">
        <v>9.9112426035502956</v>
      </c>
      <c r="K24" s="380">
        <v>26.035502958579883</v>
      </c>
    </row>
    <row r="25" spans="2:11" x14ac:dyDescent="0.25">
      <c r="B25" s="379" t="s">
        <v>1314</v>
      </c>
      <c r="C25" s="382">
        <v>49.2</v>
      </c>
      <c r="D25" s="383">
        <v>41.187142857142852</v>
      </c>
      <c r="E25" s="383">
        <v>32.266666666666666</v>
      </c>
      <c r="G25" s="998"/>
      <c r="H25" s="377" t="s">
        <v>1297</v>
      </c>
      <c r="I25" s="381">
        <v>7.4418397216045413</v>
      </c>
      <c r="J25" s="381">
        <v>9.9112426035502956</v>
      </c>
      <c r="K25" s="381">
        <v>26.035502958579883</v>
      </c>
    </row>
    <row r="26" spans="2:11" x14ac:dyDescent="0.25">
      <c r="B26" s="379" t="s">
        <v>1315</v>
      </c>
      <c r="C26" s="382">
        <v>49.2</v>
      </c>
      <c r="D26" s="383">
        <v>41.187142857142852</v>
      </c>
      <c r="E26" s="383">
        <v>32.266666666666666</v>
      </c>
      <c r="G26" s="996" t="s">
        <v>1300</v>
      </c>
      <c r="H26" s="379" t="s">
        <v>1296</v>
      </c>
      <c r="I26" s="380">
        <v>6.8500973459259251</v>
      </c>
      <c r="J26" s="380">
        <v>9.2871498459259243</v>
      </c>
      <c r="K26" s="380">
        <v>16.876104707407411</v>
      </c>
    </row>
    <row r="27" spans="2:11" x14ac:dyDescent="0.25">
      <c r="B27" s="379" t="s">
        <v>1316</v>
      </c>
      <c r="C27" s="382">
        <v>45.6</v>
      </c>
      <c r="D27" s="383">
        <v>41.187142857142852</v>
      </c>
      <c r="E27" s="383">
        <v>32.266666666666666</v>
      </c>
      <c r="G27" s="997"/>
      <c r="H27" s="379" t="s">
        <v>1251</v>
      </c>
      <c r="I27" s="380">
        <v>6.0915119100000004</v>
      </c>
      <c r="J27" s="380">
        <v>12.62345036</v>
      </c>
      <c r="K27" s="380">
        <v>20.640281516666665</v>
      </c>
    </row>
    <row r="28" spans="2:11" x14ac:dyDescent="0.25">
      <c r="B28" s="379" t="s">
        <v>1317</v>
      </c>
      <c r="C28" s="382">
        <v>45.4</v>
      </c>
      <c r="D28" s="383">
        <v>41.187142857142852</v>
      </c>
      <c r="E28" s="383">
        <v>32.266666666666666</v>
      </c>
      <c r="G28" s="997"/>
      <c r="H28" s="379" t="s">
        <v>1298</v>
      </c>
      <c r="I28" s="380">
        <v>2.7686942718184282</v>
      </c>
      <c r="J28" s="380">
        <v>8.742569575790327</v>
      </c>
      <c r="K28" s="380">
        <v>23.162658740880843</v>
      </c>
    </row>
    <row r="29" spans="2:11" x14ac:dyDescent="0.25">
      <c r="B29" s="379" t="s">
        <v>1318</v>
      </c>
      <c r="C29" s="382">
        <v>44.8</v>
      </c>
      <c r="D29" s="383">
        <v>41.187142857142852</v>
      </c>
      <c r="E29" s="383">
        <v>32.266666666666666</v>
      </c>
      <c r="G29" s="998"/>
      <c r="H29" s="377" t="s">
        <v>1297</v>
      </c>
      <c r="I29" s="381">
        <v>3.0445354234738859</v>
      </c>
      <c r="J29" s="381">
        <v>8.9456589388517216</v>
      </c>
      <c r="K29" s="381">
        <v>23.661895129920644</v>
      </c>
    </row>
    <row r="30" spans="2:11" x14ac:dyDescent="0.25">
      <c r="B30" s="379" t="s">
        <v>1319</v>
      </c>
      <c r="C30" s="382">
        <v>43.4</v>
      </c>
      <c r="D30" s="383">
        <v>41.187142857142852</v>
      </c>
      <c r="E30" s="383">
        <v>32.266666666666666</v>
      </c>
    </row>
    <row r="31" spans="2:11" ht="14.25" thickBot="1" x14ac:dyDescent="0.3">
      <c r="B31" s="379" t="s">
        <v>1320</v>
      </c>
      <c r="C31" s="382">
        <v>43.1</v>
      </c>
      <c r="D31" s="383">
        <v>41.187142857142852</v>
      </c>
      <c r="E31" s="383">
        <v>32.266666666666666</v>
      </c>
      <c r="G31" s="999" t="s">
        <v>1303</v>
      </c>
      <c r="H31" s="999"/>
      <c r="I31" s="999"/>
      <c r="J31" s="999"/>
      <c r="K31" s="999"/>
    </row>
    <row r="32" spans="2:11" x14ac:dyDescent="0.25">
      <c r="B32" s="379" t="s">
        <v>1321</v>
      </c>
      <c r="C32" s="382">
        <v>42.3</v>
      </c>
      <c r="D32" s="383">
        <v>41.187142857142852</v>
      </c>
      <c r="E32" s="383">
        <v>32.266666666666666</v>
      </c>
    </row>
    <row r="33" spans="2:11" x14ac:dyDescent="0.25">
      <c r="B33" s="379" t="s">
        <v>1322</v>
      </c>
      <c r="C33" s="382">
        <v>37.799999999999997</v>
      </c>
      <c r="D33" s="383">
        <v>41.187142857142852</v>
      </c>
      <c r="E33" s="383">
        <v>32.266666666666666</v>
      </c>
    </row>
    <row r="34" spans="2:11" x14ac:dyDescent="0.25">
      <c r="B34" s="379" t="s">
        <v>1323</v>
      </c>
      <c r="C34" s="382">
        <v>36.1</v>
      </c>
      <c r="D34" s="383">
        <v>41.187142857142852</v>
      </c>
      <c r="E34" s="383">
        <v>32.266666666666666</v>
      </c>
    </row>
    <row r="35" spans="2:11" x14ac:dyDescent="0.25">
      <c r="B35" s="379" t="s">
        <v>1324</v>
      </c>
      <c r="C35" s="382">
        <v>36</v>
      </c>
      <c r="D35" s="383">
        <v>41.187142857142852</v>
      </c>
      <c r="E35" s="383">
        <v>32.266666666666666</v>
      </c>
    </row>
    <row r="36" spans="2:11" x14ac:dyDescent="0.25">
      <c r="B36" s="379" t="s">
        <v>1253</v>
      </c>
      <c r="C36" s="382">
        <v>34.4</v>
      </c>
      <c r="D36" s="383">
        <v>41.187142857142852</v>
      </c>
      <c r="E36" s="383">
        <v>32.266666666666666</v>
      </c>
    </row>
    <row r="37" spans="2:11" x14ac:dyDescent="0.25">
      <c r="B37" s="379" t="s">
        <v>1325</v>
      </c>
      <c r="C37" s="382">
        <v>32.9</v>
      </c>
      <c r="D37" s="383">
        <v>41.187142857142852</v>
      </c>
      <c r="E37" s="383">
        <v>32.266666666666666</v>
      </c>
    </row>
    <row r="38" spans="2:11" x14ac:dyDescent="0.25">
      <c r="B38" s="379" t="s">
        <v>1284</v>
      </c>
      <c r="C38" s="382">
        <v>31.2</v>
      </c>
      <c r="D38" s="383">
        <v>41.187142857142852</v>
      </c>
      <c r="E38" s="383">
        <v>32.266666666666666</v>
      </c>
    </row>
    <row r="39" spans="2:11" x14ac:dyDescent="0.25">
      <c r="B39" s="379" t="s">
        <v>1254</v>
      </c>
      <c r="C39" s="382">
        <v>31.2</v>
      </c>
      <c r="D39" s="383">
        <v>41.187142857142852</v>
      </c>
      <c r="E39" s="383">
        <v>32.266666666666666</v>
      </c>
    </row>
    <row r="40" spans="2:11" x14ac:dyDescent="0.25">
      <c r="B40" s="379" t="s">
        <v>1326</v>
      </c>
      <c r="C40" s="382">
        <v>26.53</v>
      </c>
      <c r="D40" s="383">
        <v>41.187142857142852</v>
      </c>
      <c r="E40" s="383">
        <v>32.266666666666666</v>
      </c>
    </row>
    <row r="41" spans="2:11" x14ac:dyDescent="0.25">
      <c r="B41" s="379" t="s">
        <v>1327</v>
      </c>
      <c r="C41" s="382">
        <v>20</v>
      </c>
      <c r="D41" s="383">
        <v>41.187142857142852</v>
      </c>
      <c r="E41" s="383">
        <v>32.266666666666666</v>
      </c>
    </row>
    <row r="42" spans="2:11" x14ac:dyDescent="0.25">
      <c r="B42" s="379" t="s">
        <v>1328</v>
      </c>
      <c r="C42" s="382">
        <v>41.187142857142852</v>
      </c>
    </row>
    <row r="43" spans="2:11" x14ac:dyDescent="0.25">
      <c r="B43" s="377" t="s">
        <v>1329</v>
      </c>
      <c r="C43" s="384">
        <v>32.266666666666666</v>
      </c>
    </row>
    <row r="45" spans="2:11" ht="14.25" thickBot="1" x14ac:dyDescent="0.3">
      <c r="B45" s="951" t="s">
        <v>1332</v>
      </c>
      <c r="C45" s="951"/>
      <c r="D45" s="951"/>
      <c r="E45" s="951"/>
    </row>
    <row r="46" spans="2:11" x14ac:dyDescent="0.25">
      <c r="I46" s="380"/>
      <c r="J46" s="380"/>
      <c r="K46" s="380"/>
    </row>
    <row r="47" spans="2:11" x14ac:dyDescent="0.25">
      <c r="I47" s="380"/>
      <c r="J47" s="380"/>
      <c r="K47" s="380"/>
    </row>
    <row r="49" spans="2:11" ht="14.25" thickBot="1" x14ac:dyDescent="0.3">
      <c r="G49" s="999" t="s">
        <v>1304</v>
      </c>
      <c r="H49" s="999"/>
      <c r="I49" s="999"/>
      <c r="J49" s="999"/>
      <c r="K49" s="999"/>
    </row>
    <row r="50" spans="2:11" x14ac:dyDescent="0.25">
      <c r="G50" s="377"/>
      <c r="H50" s="377"/>
      <c r="I50" s="378" t="s">
        <v>1305</v>
      </c>
      <c r="J50" s="378" t="s">
        <v>1306</v>
      </c>
      <c r="K50" s="378" t="s">
        <v>1307</v>
      </c>
    </row>
    <row r="51" spans="2:11" x14ac:dyDescent="0.25">
      <c r="G51" s="996" t="s">
        <v>1308</v>
      </c>
      <c r="H51" s="379" t="s">
        <v>1296</v>
      </c>
      <c r="I51" s="380">
        <v>13.174444881481479</v>
      </c>
      <c r="J51" s="380">
        <v>9.6629024177777776</v>
      </c>
      <c r="K51" s="380">
        <v>17.823495046296294</v>
      </c>
    </row>
    <row r="52" spans="2:11" x14ac:dyDescent="0.25">
      <c r="G52" s="997"/>
      <c r="H52" s="379" t="s">
        <v>1260</v>
      </c>
      <c r="I52" s="380">
        <v>8.8832903400000003</v>
      </c>
      <c r="J52" s="380">
        <v>12.623450253333333</v>
      </c>
      <c r="K52" s="380">
        <v>20.64028592</v>
      </c>
    </row>
    <row r="53" spans="2:11" x14ac:dyDescent="0.25">
      <c r="G53" s="997"/>
      <c r="H53" s="379" t="s">
        <v>1298</v>
      </c>
      <c r="I53" s="380">
        <v>7.2755705832628896</v>
      </c>
      <c r="J53" s="380">
        <v>9.9112426035502956</v>
      </c>
      <c r="K53" s="380">
        <v>26.035502958579883</v>
      </c>
    </row>
    <row r="54" spans="2:11" x14ac:dyDescent="0.25">
      <c r="G54" s="998"/>
      <c r="H54" s="377" t="s">
        <v>1297</v>
      </c>
      <c r="I54" s="381">
        <v>7.4418397216045413</v>
      </c>
      <c r="J54" s="381">
        <v>9.9112426035502956</v>
      </c>
      <c r="K54" s="381">
        <v>26.035502958579883</v>
      </c>
    </row>
    <row r="55" spans="2:11" x14ac:dyDescent="0.25">
      <c r="G55" s="996" t="s">
        <v>1309</v>
      </c>
      <c r="H55" s="379" t="s">
        <v>1296</v>
      </c>
      <c r="I55" s="380">
        <v>6.8500973459259251</v>
      </c>
      <c r="J55" s="380">
        <v>9.2871498459259243</v>
      </c>
      <c r="K55" s="380">
        <v>16.876104707407411</v>
      </c>
    </row>
    <row r="56" spans="2:11" x14ac:dyDescent="0.25">
      <c r="G56" s="997"/>
      <c r="H56" s="379" t="s">
        <v>1260</v>
      </c>
      <c r="I56" s="380">
        <v>6.0915119100000004</v>
      </c>
      <c r="J56" s="380">
        <v>12.62345036</v>
      </c>
      <c r="K56" s="380">
        <v>20.640281516666665</v>
      </c>
    </row>
    <row r="57" spans="2:11" x14ac:dyDescent="0.25">
      <c r="G57" s="997"/>
      <c r="H57" s="379" t="s">
        <v>1298</v>
      </c>
      <c r="I57" s="380">
        <v>2.7686942718184282</v>
      </c>
      <c r="J57" s="380">
        <v>8.742569575790327</v>
      </c>
      <c r="K57" s="380">
        <v>23.162658740880843</v>
      </c>
    </row>
    <row r="58" spans="2:11" x14ac:dyDescent="0.25">
      <c r="G58" s="998"/>
      <c r="H58" s="377" t="s">
        <v>1297</v>
      </c>
      <c r="I58" s="381">
        <v>3.0445354234738859</v>
      </c>
      <c r="J58" s="381">
        <v>8.9456589388517216</v>
      </c>
      <c r="K58" s="381">
        <v>23.661895129920644</v>
      </c>
    </row>
    <row r="64" spans="2:11" ht="14.25" thickBot="1" x14ac:dyDescent="0.3">
      <c r="B64" s="999" t="s">
        <v>1333</v>
      </c>
      <c r="C64" s="999"/>
    </row>
    <row r="65" spans="2:3" x14ac:dyDescent="0.25">
      <c r="B65" s="379" t="s">
        <v>1310</v>
      </c>
      <c r="C65" s="382">
        <v>57.1</v>
      </c>
    </row>
    <row r="66" spans="2:3" x14ac:dyDescent="0.25">
      <c r="B66" s="379" t="s">
        <v>1311</v>
      </c>
      <c r="C66" s="382">
        <v>55</v>
      </c>
    </row>
    <row r="67" spans="2:3" x14ac:dyDescent="0.25">
      <c r="B67" s="379" t="s">
        <v>1312</v>
      </c>
      <c r="C67" s="382">
        <v>53.2</v>
      </c>
    </row>
    <row r="68" spans="2:3" x14ac:dyDescent="0.25">
      <c r="B68" s="379" t="s">
        <v>1313</v>
      </c>
      <c r="C68" s="382">
        <v>50.5</v>
      </c>
    </row>
    <row r="69" spans="2:3" x14ac:dyDescent="0.25">
      <c r="B69" s="379" t="s">
        <v>1314</v>
      </c>
      <c r="C69" s="382">
        <v>49.2</v>
      </c>
    </row>
    <row r="70" spans="2:3" x14ac:dyDescent="0.25">
      <c r="B70" s="379" t="s">
        <v>1315</v>
      </c>
      <c r="C70" s="382">
        <v>49.2</v>
      </c>
    </row>
    <row r="71" spans="2:3" x14ac:dyDescent="0.25">
      <c r="B71" s="379" t="s">
        <v>1316</v>
      </c>
      <c r="C71" s="382">
        <v>45.6</v>
      </c>
    </row>
    <row r="72" spans="2:3" x14ac:dyDescent="0.25">
      <c r="B72" s="379" t="s">
        <v>1317</v>
      </c>
      <c r="C72" s="382">
        <v>45.4</v>
      </c>
    </row>
    <row r="73" spans="2:3" x14ac:dyDescent="0.25">
      <c r="B73" s="379" t="s">
        <v>1318</v>
      </c>
      <c r="C73" s="382">
        <v>44.8</v>
      </c>
    </row>
    <row r="74" spans="2:3" x14ac:dyDescent="0.25">
      <c r="B74" s="379" t="s">
        <v>1319</v>
      </c>
      <c r="C74" s="382">
        <v>43.4</v>
      </c>
    </row>
    <row r="75" spans="2:3" x14ac:dyDescent="0.25">
      <c r="B75" s="379" t="s">
        <v>1320</v>
      </c>
      <c r="C75" s="382">
        <v>43.1</v>
      </c>
    </row>
    <row r="76" spans="2:3" x14ac:dyDescent="0.25">
      <c r="B76" s="379" t="s">
        <v>1321</v>
      </c>
      <c r="C76" s="382">
        <v>42.3</v>
      </c>
    </row>
    <row r="77" spans="2:3" x14ac:dyDescent="0.25">
      <c r="B77" s="379" t="s">
        <v>1322</v>
      </c>
      <c r="C77" s="382">
        <v>37.799999999999997</v>
      </c>
    </row>
    <row r="78" spans="2:3" x14ac:dyDescent="0.25">
      <c r="B78" s="379" t="s">
        <v>1323</v>
      </c>
      <c r="C78" s="382">
        <v>36.1</v>
      </c>
    </row>
    <row r="79" spans="2:3" x14ac:dyDescent="0.25">
      <c r="B79" s="379" t="s">
        <v>1324</v>
      </c>
      <c r="C79" s="382">
        <v>36</v>
      </c>
    </row>
    <row r="80" spans="2:3" x14ac:dyDescent="0.25">
      <c r="B80" s="379" t="s">
        <v>1253</v>
      </c>
      <c r="C80" s="382">
        <v>34.4</v>
      </c>
    </row>
    <row r="81" spans="2:3" x14ac:dyDescent="0.25">
      <c r="B81" s="379" t="s">
        <v>1325</v>
      </c>
      <c r="C81" s="382">
        <v>32.9</v>
      </c>
    </row>
    <row r="82" spans="2:3" x14ac:dyDescent="0.25">
      <c r="B82" s="379" t="s">
        <v>1284</v>
      </c>
      <c r="C82" s="382">
        <v>31.2</v>
      </c>
    </row>
    <row r="83" spans="2:3" x14ac:dyDescent="0.25">
      <c r="B83" s="379" t="s">
        <v>1254</v>
      </c>
      <c r="C83" s="382">
        <v>31.2</v>
      </c>
    </row>
    <row r="84" spans="2:3" x14ac:dyDescent="0.25">
      <c r="B84" s="379" t="s">
        <v>1326</v>
      </c>
      <c r="C84" s="382">
        <v>26.53</v>
      </c>
    </row>
    <row r="85" spans="2:3" x14ac:dyDescent="0.25">
      <c r="B85" s="379" t="s">
        <v>1327</v>
      </c>
      <c r="C85" s="382">
        <v>20</v>
      </c>
    </row>
    <row r="86" spans="2:3" x14ac:dyDescent="0.25">
      <c r="B86" s="379" t="s">
        <v>1334</v>
      </c>
      <c r="C86" s="382">
        <v>41.187142857142852</v>
      </c>
    </row>
    <row r="87" spans="2:3" x14ac:dyDescent="0.25">
      <c r="B87" s="377" t="s">
        <v>1335</v>
      </c>
      <c r="C87" s="384">
        <v>32.266666666666666</v>
      </c>
    </row>
  </sheetData>
  <mergeCells count="12">
    <mergeCell ref="G55:G58"/>
    <mergeCell ref="B2:E2"/>
    <mergeCell ref="B20:C20"/>
    <mergeCell ref="B45:E45"/>
    <mergeCell ref="B64:C64"/>
    <mergeCell ref="G26:G29"/>
    <mergeCell ref="G2:K2"/>
    <mergeCell ref="G20:K20"/>
    <mergeCell ref="G31:K31"/>
    <mergeCell ref="G49:K49"/>
    <mergeCell ref="G51:G54"/>
    <mergeCell ref="G22:G25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8"/>
  <dimension ref="B2:AL48"/>
  <sheetViews>
    <sheetView showGridLines="0" zoomScale="85" zoomScaleNormal="85" workbookViewId="0">
      <selection activeCell="F47" sqref="F47"/>
    </sheetView>
  </sheetViews>
  <sheetFormatPr defaultRowHeight="13.5" x14ac:dyDescent="0.25"/>
  <cols>
    <col min="1" max="1" width="16.7109375" style="40" customWidth="1"/>
    <col min="2" max="2" width="17.7109375" style="40" customWidth="1"/>
    <col min="3" max="20" width="9.140625" style="40"/>
    <col min="21" max="21" width="17.85546875" style="40" customWidth="1"/>
    <col min="22" max="16384" width="9.140625" style="40"/>
  </cols>
  <sheetData>
    <row r="2" spans="2:38" ht="15.75" customHeight="1" thickBot="1" x14ac:dyDescent="0.3">
      <c r="B2" s="951" t="s">
        <v>1336</v>
      </c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U2" s="951" t="s">
        <v>1342</v>
      </c>
      <c r="V2" s="951"/>
      <c r="W2" s="951"/>
      <c r="X2" s="951"/>
      <c r="Y2" s="951"/>
      <c r="Z2" s="951"/>
      <c r="AA2" s="951"/>
      <c r="AB2" s="951"/>
      <c r="AC2" s="951"/>
      <c r="AD2" s="951"/>
      <c r="AE2" s="951"/>
      <c r="AF2" s="951"/>
      <c r="AG2" s="951"/>
      <c r="AH2" s="951"/>
      <c r="AI2" s="951"/>
      <c r="AJ2" s="951"/>
      <c r="AK2" s="392"/>
      <c r="AL2" s="392"/>
    </row>
    <row r="20" spans="2:38" ht="15.75" customHeight="1" thickBot="1" x14ac:dyDescent="0.3">
      <c r="B20" s="951" t="s">
        <v>1338</v>
      </c>
      <c r="C20" s="951"/>
      <c r="D20" s="951"/>
      <c r="E20" s="951"/>
      <c r="F20" s="951"/>
      <c r="G20" s="951"/>
      <c r="H20" s="951"/>
      <c r="I20" s="951"/>
      <c r="J20" s="951"/>
      <c r="K20" s="951"/>
      <c r="L20" s="951"/>
      <c r="M20" s="951"/>
      <c r="N20" s="951"/>
      <c r="O20" s="951"/>
      <c r="P20" s="951"/>
      <c r="Q20" s="951"/>
      <c r="R20" s="951"/>
      <c r="S20" s="951"/>
      <c r="U20" s="951" t="s">
        <v>1343</v>
      </c>
      <c r="V20" s="951"/>
      <c r="W20" s="951"/>
      <c r="X20" s="951"/>
      <c r="Y20" s="951"/>
      <c r="Z20" s="951"/>
      <c r="AA20" s="951"/>
      <c r="AB20" s="951"/>
      <c r="AC20" s="951"/>
      <c r="AD20" s="951"/>
      <c r="AE20" s="951"/>
      <c r="AF20" s="951"/>
      <c r="AG20" s="951"/>
      <c r="AH20" s="951"/>
      <c r="AI20" s="951"/>
      <c r="AJ20" s="951"/>
      <c r="AK20" s="392"/>
      <c r="AL20" s="392"/>
    </row>
    <row r="21" spans="2:38" x14ac:dyDescent="0.25">
      <c r="B21" s="385"/>
      <c r="C21" s="388">
        <v>2000</v>
      </c>
      <c r="D21" s="388">
        <v>2001</v>
      </c>
      <c r="E21" s="388">
        <v>2002</v>
      </c>
      <c r="F21" s="388">
        <v>2003</v>
      </c>
      <c r="G21" s="388">
        <v>2004</v>
      </c>
      <c r="H21" s="388">
        <v>2005</v>
      </c>
      <c r="I21" s="388">
        <v>2006</v>
      </c>
      <c r="J21" s="388">
        <v>2007</v>
      </c>
      <c r="K21" s="388">
        <v>2008</v>
      </c>
      <c r="L21" s="388">
        <v>2009</v>
      </c>
      <c r="M21" s="388">
        <v>2010</v>
      </c>
      <c r="N21" s="388">
        <v>2011</v>
      </c>
      <c r="O21" s="388">
        <v>2012</v>
      </c>
      <c r="P21" s="388">
        <v>2013</v>
      </c>
      <c r="Q21" s="388">
        <v>2014</v>
      </c>
      <c r="R21" s="388">
        <v>2015</v>
      </c>
      <c r="S21" s="388">
        <v>2016</v>
      </c>
      <c r="U21" s="385"/>
      <c r="V21" s="388">
        <v>2001</v>
      </c>
      <c r="W21" s="388">
        <v>2002</v>
      </c>
      <c r="X21" s="388">
        <v>2003</v>
      </c>
      <c r="Y21" s="388">
        <v>2004</v>
      </c>
      <c r="Z21" s="388">
        <v>2005</v>
      </c>
      <c r="AA21" s="388">
        <v>2006</v>
      </c>
      <c r="AB21" s="388">
        <v>2007</v>
      </c>
      <c r="AC21" s="388">
        <v>2008</v>
      </c>
      <c r="AD21" s="388">
        <v>2009</v>
      </c>
      <c r="AE21" s="388">
        <v>2010</v>
      </c>
      <c r="AF21" s="388">
        <v>2011</v>
      </c>
      <c r="AG21" s="388">
        <v>2012</v>
      </c>
      <c r="AH21" s="388">
        <v>2013</v>
      </c>
      <c r="AI21" s="388">
        <v>2014</v>
      </c>
      <c r="AJ21" s="388">
        <v>2015</v>
      </c>
      <c r="AK21" s="393"/>
      <c r="AL21" s="394"/>
    </row>
    <row r="22" spans="2:38" x14ac:dyDescent="0.25">
      <c r="B22" s="386" t="s">
        <v>1337</v>
      </c>
      <c r="C22" s="387">
        <v>20.775559748625561</v>
      </c>
      <c r="D22" s="387">
        <v>18.187786430225263</v>
      </c>
      <c r="E22" s="387">
        <v>20.493409739518064</v>
      </c>
      <c r="F22" s="387">
        <v>15.755854037187575</v>
      </c>
      <c r="G22" s="387">
        <v>23.505997745706981</v>
      </c>
      <c r="H22" s="387">
        <v>21.512613425555564</v>
      </c>
      <c r="I22" s="387">
        <v>26.620713930615381</v>
      </c>
      <c r="J22" s="387">
        <v>31.445393334253612</v>
      </c>
      <c r="K22" s="387">
        <v>31.279497216081154</v>
      </c>
      <c r="L22" s="387">
        <v>34.884118077650236</v>
      </c>
      <c r="M22" s="387">
        <v>35.562987066186544</v>
      </c>
      <c r="N22" s="387">
        <v>38.219907893613644</v>
      </c>
      <c r="O22" s="387">
        <v>40.957819263797788</v>
      </c>
      <c r="P22" s="387">
        <v>37.013535189253865</v>
      </c>
      <c r="Q22" s="387">
        <v>33.054773301485028</v>
      </c>
      <c r="R22" s="387">
        <v>31.439199916655099</v>
      </c>
      <c r="S22" s="387">
        <v>28.573705974142399</v>
      </c>
      <c r="U22" s="40" t="s">
        <v>1345</v>
      </c>
      <c r="V22" s="389">
        <v>42.781338910400443</v>
      </c>
      <c r="W22" s="389">
        <v>40.823608606892698</v>
      </c>
      <c r="X22" s="389">
        <v>40.620202310994486</v>
      </c>
      <c r="Y22" s="389">
        <v>42.196925774187328</v>
      </c>
      <c r="Z22" s="389">
        <v>48.219676018211892</v>
      </c>
      <c r="AA22" s="389">
        <v>52.117104873856178</v>
      </c>
      <c r="AB22" s="389">
        <v>49.452465711116922</v>
      </c>
      <c r="AC22" s="389">
        <v>51.470176489556472</v>
      </c>
      <c r="AD22" s="389">
        <v>49.883745378416727</v>
      </c>
      <c r="AE22" s="389">
        <v>48.099572626551115</v>
      </c>
      <c r="AF22" s="389">
        <v>48.428064728323946</v>
      </c>
      <c r="AG22" s="389">
        <v>48.387039811080825</v>
      </c>
      <c r="AH22" s="389">
        <v>48.527760229992964</v>
      </c>
      <c r="AI22" s="389">
        <v>48.790858786876626</v>
      </c>
      <c r="AJ22" s="389">
        <v>50.209663172081655</v>
      </c>
    </row>
    <row r="23" spans="2:38" x14ac:dyDescent="0.25">
      <c r="U23" s="40" t="s">
        <v>1344</v>
      </c>
      <c r="V23" s="389">
        <v>55.264139737549826</v>
      </c>
      <c r="W23" s="389">
        <v>54.55720313182939</v>
      </c>
      <c r="X23" s="389">
        <v>54.727225194879296</v>
      </c>
      <c r="Y23" s="389">
        <v>55.553257585104667</v>
      </c>
      <c r="Z23" s="389">
        <v>57.399198185399094</v>
      </c>
      <c r="AA23" s="389">
        <v>58.632517411868193</v>
      </c>
      <c r="AB23" s="389">
        <v>58.859183392271731</v>
      </c>
      <c r="AC23" s="389">
        <v>56.548258400246269</v>
      </c>
      <c r="AD23" s="389">
        <v>52.048703750834022</v>
      </c>
      <c r="AE23" s="389">
        <v>53.180500965333223</v>
      </c>
      <c r="AF23" s="389">
        <v>53.716621330373314</v>
      </c>
      <c r="AG23" s="389">
        <v>53.735678889476887</v>
      </c>
      <c r="AH23" s="389">
        <v>53.492835473220204</v>
      </c>
      <c r="AI23" s="389">
        <v>54.899021928353889</v>
      </c>
      <c r="AJ23" s="389">
        <v>54.247606857590426</v>
      </c>
    </row>
    <row r="24" spans="2:38" ht="14.25" thickBot="1" x14ac:dyDescent="0.3">
      <c r="B24" s="951" t="s">
        <v>1339</v>
      </c>
      <c r="C24" s="951"/>
      <c r="D24" s="951"/>
      <c r="E24" s="951"/>
      <c r="F24" s="951"/>
      <c r="G24" s="951"/>
      <c r="H24" s="951"/>
      <c r="I24" s="951"/>
      <c r="J24" s="951"/>
      <c r="K24" s="951"/>
      <c r="L24" s="951"/>
      <c r="M24" s="951"/>
      <c r="N24" s="951"/>
      <c r="O24" s="951"/>
      <c r="P24" s="951"/>
      <c r="Q24" s="951"/>
      <c r="R24" s="951"/>
      <c r="S24" s="951"/>
      <c r="U24" s="390" t="s">
        <v>1156</v>
      </c>
      <c r="V24" s="391">
        <v>45.276207928715209</v>
      </c>
      <c r="W24" s="391">
        <v>43.506451742111118</v>
      </c>
      <c r="X24" s="391">
        <v>54.447197916238352</v>
      </c>
      <c r="Y24" s="391">
        <v>60.067130803699911</v>
      </c>
      <c r="Z24" s="391">
        <v>60.569168808598036</v>
      </c>
      <c r="AA24" s="391">
        <v>57.385555484904813</v>
      </c>
      <c r="AB24" s="391">
        <v>53.328516686896741</v>
      </c>
      <c r="AC24" s="391">
        <v>53.480838453825385</v>
      </c>
      <c r="AD24" s="391">
        <v>48.491048053411156</v>
      </c>
      <c r="AE24" s="391">
        <v>47.281090840180696</v>
      </c>
      <c r="AF24" s="391">
        <v>48.863452534122978</v>
      </c>
      <c r="AG24" s="391">
        <v>43.895503510249355</v>
      </c>
      <c r="AH24" s="391">
        <v>47.049315682635118</v>
      </c>
      <c r="AI24" s="391">
        <v>48.917649621223113</v>
      </c>
      <c r="AJ24" s="391">
        <v>49.75496317635104</v>
      </c>
    </row>
    <row r="26" spans="2:38" ht="14.25" thickBot="1" x14ac:dyDescent="0.3">
      <c r="U26" s="951" t="s">
        <v>1346</v>
      </c>
      <c r="V26" s="951"/>
      <c r="W26" s="951"/>
      <c r="X26" s="951"/>
      <c r="Y26" s="951"/>
      <c r="Z26" s="951"/>
      <c r="AA26" s="951"/>
      <c r="AB26" s="951"/>
      <c r="AC26" s="951"/>
      <c r="AD26" s="951"/>
      <c r="AE26" s="951"/>
      <c r="AF26" s="951"/>
      <c r="AG26" s="951"/>
      <c r="AH26" s="951"/>
      <c r="AI26" s="951"/>
      <c r="AJ26" s="951"/>
    </row>
    <row r="42" spans="2:36" ht="14.25" thickBot="1" x14ac:dyDescent="0.3">
      <c r="B42" s="951" t="s">
        <v>1340</v>
      </c>
      <c r="C42" s="951"/>
      <c r="D42" s="951"/>
      <c r="E42" s="951"/>
      <c r="F42" s="951"/>
      <c r="G42" s="951"/>
      <c r="H42" s="951"/>
      <c r="I42" s="951"/>
      <c r="J42" s="951"/>
      <c r="K42" s="951"/>
      <c r="L42" s="951"/>
      <c r="M42" s="951"/>
      <c r="N42" s="951"/>
      <c r="O42" s="951"/>
      <c r="P42" s="951"/>
      <c r="Q42" s="951"/>
      <c r="R42" s="951"/>
      <c r="S42" s="951"/>
    </row>
    <row r="43" spans="2:36" x14ac:dyDescent="0.25">
      <c r="B43" s="385"/>
      <c r="C43" s="388">
        <v>2000</v>
      </c>
      <c r="D43" s="388">
        <v>2001</v>
      </c>
      <c r="E43" s="388">
        <v>2002</v>
      </c>
      <c r="F43" s="388">
        <v>2003</v>
      </c>
      <c r="G43" s="388">
        <v>2004</v>
      </c>
      <c r="H43" s="388">
        <v>2005</v>
      </c>
      <c r="I43" s="388">
        <v>2006</v>
      </c>
      <c r="J43" s="388">
        <v>2007</v>
      </c>
      <c r="K43" s="388">
        <v>2008</v>
      </c>
      <c r="L43" s="388">
        <v>2009</v>
      </c>
      <c r="M43" s="388">
        <v>2010</v>
      </c>
      <c r="N43" s="388">
        <v>2011</v>
      </c>
      <c r="O43" s="388">
        <v>2012</v>
      </c>
      <c r="P43" s="388">
        <v>2013</v>
      </c>
      <c r="Q43" s="388">
        <v>2014</v>
      </c>
      <c r="R43" s="388">
        <v>2015</v>
      </c>
      <c r="S43" s="388">
        <v>2016</v>
      </c>
    </row>
    <row r="44" spans="2:36" ht="14.25" thickBot="1" x14ac:dyDescent="0.3">
      <c r="B44" s="386" t="s">
        <v>1341</v>
      </c>
      <c r="C44" s="387">
        <v>20.775559748625561</v>
      </c>
      <c r="D44" s="387">
        <v>18.187786430225263</v>
      </c>
      <c r="E44" s="387">
        <v>20.493409739518064</v>
      </c>
      <c r="F44" s="387">
        <v>15.755854037187575</v>
      </c>
      <c r="G44" s="387">
        <v>23.505997745706981</v>
      </c>
      <c r="H44" s="387">
        <v>21.512613425555564</v>
      </c>
      <c r="I44" s="387">
        <v>26.620713930615381</v>
      </c>
      <c r="J44" s="387">
        <v>31.445393334253612</v>
      </c>
      <c r="K44" s="387">
        <v>31.279497216081154</v>
      </c>
      <c r="L44" s="387">
        <v>34.884118077650236</v>
      </c>
      <c r="M44" s="387">
        <v>35.562987066186544</v>
      </c>
      <c r="N44" s="387">
        <v>38.219907893613644</v>
      </c>
      <c r="O44" s="387">
        <v>40.957819263797788</v>
      </c>
      <c r="P44" s="387">
        <v>37.013535189253865</v>
      </c>
      <c r="Q44" s="387">
        <v>33.054773301485028</v>
      </c>
      <c r="R44" s="387">
        <v>31.439199916655099</v>
      </c>
      <c r="S44" s="387">
        <v>28.573705974142399</v>
      </c>
      <c r="U44" s="951" t="s">
        <v>1343</v>
      </c>
      <c r="V44" s="951"/>
      <c r="W44" s="951"/>
      <c r="X44" s="951"/>
      <c r="Y44" s="951"/>
      <c r="Z44" s="951"/>
      <c r="AA44" s="951"/>
      <c r="AB44" s="951"/>
      <c r="AC44" s="951"/>
      <c r="AD44" s="951"/>
      <c r="AE44" s="951"/>
      <c r="AF44" s="951"/>
      <c r="AG44" s="951"/>
      <c r="AH44" s="951"/>
      <c r="AI44" s="951"/>
      <c r="AJ44" s="951"/>
    </row>
    <row r="45" spans="2:36" x14ac:dyDescent="0.25">
      <c r="U45" s="385"/>
      <c r="V45" s="388">
        <v>2001</v>
      </c>
      <c r="W45" s="388">
        <v>2002</v>
      </c>
      <c r="X45" s="388">
        <v>2003</v>
      </c>
      <c r="Y45" s="388">
        <v>2004</v>
      </c>
      <c r="Z45" s="388">
        <v>2005</v>
      </c>
      <c r="AA45" s="388">
        <v>2006</v>
      </c>
      <c r="AB45" s="388">
        <v>2007</v>
      </c>
      <c r="AC45" s="388">
        <v>2008</v>
      </c>
      <c r="AD45" s="388">
        <v>2009</v>
      </c>
      <c r="AE45" s="388">
        <v>2010</v>
      </c>
      <c r="AF45" s="388">
        <v>2011</v>
      </c>
      <c r="AG45" s="388">
        <v>2012</v>
      </c>
      <c r="AH45" s="388">
        <v>2013</v>
      </c>
      <c r="AI45" s="388">
        <v>2014</v>
      </c>
      <c r="AJ45" s="388">
        <v>2015</v>
      </c>
    </row>
    <row r="46" spans="2:36" x14ac:dyDescent="0.25">
      <c r="U46" s="40" t="s">
        <v>1260</v>
      </c>
      <c r="V46" s="389">
        <v>42.781338910400443</v>
      </c>
      <c r="W46" s="389">
        <v>40.823608606892698</v>
      </c>
      <c r="X46" s="389">
        <v>40.620202310994486</v>
      </c>
      <c r="Y46" s="389">
        <v>42.196925774187328</v>
      </c>
      <c r="Z46" s="389">
        <v>48.219676018211892</v>
      </c>
      <c r="AA46" s="389">
        <v>52.117104873856178</v>
      </c>
      <c r="AB46" s="389">
        <v>49.452465711116922</v>
      </c>
      <c r="AC46" s="389">
        <v>51.470176489556472</v>
      </c>
      <c r="AD46" s="389">
        <v>49.883745378416727</v>
      </c>
      <c r="AE46" s="389">
        <v>48.099572626551115</v>
      </c>
      <c r="AF46" s="389">
        <v>48.428064728323946</v>
      </c>
      <c r="AG46" s="389">
        <v>48.387039811080825</v>
      </c>
      <c r="AH46" s="389">
        <v>48.527760229992964</v>
      </c>
      <c r="AI46" s="389">
        <v>48.790858786876626</v>
      </c>
      <c r="AJ46" s="389">
        <v>50.209663172081655</v>
      </c>
    </row>
    <row r="47" spans="2:36" x14ac:dyDescent="0.25">
      <c r="U47" s="40" t="s">
        <v>1347</v>
      </c>
      <c r="V47" s="389">
        <v>55.264139737549826</v>
      </c>
      <c r="W47" s="389">
        <v>54.55720313182939</v>
      </c>
      <c r="X47" s="389">
        <v>54.727225194879296</v>
      </c>
      <c r="Y47" s="389">
        <v>55.553257585104667</v>
      </c>
      <c r="Z47" s="389">
        <v>57.399198185399094</v>
      </c>
      <c r="AA47" s="389">
        <v>58.632517411868193</v>
      </c>
      <c r="AB47" s="389">
        <v>58.859183392271731</v>
      </c>
      <c r="AC47" s="389">
        <v>56.548258400246269</v>
      </c>
      <c r="AD47" s="389">
        <v>52.048703750834022</v>
      </c>
      <c r="AE47" s="389">
        <v>53.180500965333223</v>
      </c>
      <c r="AF47" s="389">
        <v>53.716621330373314</v>
      </c>
      <c r="AG47" s="389">
        <v>53.735678889476887</v>
      </c>
      <c r="AH47" s="389">
        <v>53.492835473220204</v>
      </c>
      <c r="AI47" s="389">
        <v>54.899021928353889</v>
      </c>
      <c r="AJ47" s="389">
        <v>54.247606857590426</v>
      </c>
    </row>
    <row r="48" spans="2:36" x14ac:dyDescent="0.25">
      <c r="U48" s="390" t="s">
        <v>1156</v>
      </c>
      <c r="V48" s="391">
        <v>45.276207928715209</v>
      </c>
      <c r="W48" s="391">
        <v>43.506451742111118</v>
      </c>
      <c r="X48" s="391">
        <v>54.447197916238352</v>
      </c>
      <c r="Y48" s="391">
        <v>60.067130803699911</v>
      </c>
      <c r="Z48" s="391">
        <v>60.569168808598036</v>
      </c>
      <c r="AA48" s="391">
        <v>57.385555484904813</v>
      </c>
      <c r="AB48" s="391">
        <v>53.328516686896741</v>
      </c>
      <c r="AC48" s="391">
        <v>53.480838453825385</v>
      </c>
      <c r="AD48" s="391">
        <v>48.491048053411156</v>
      </c>
      <c r="AE48" s="391">
        <v>47.281090840180696</v>
      </c>
      <c r="AF48" s="391">
        <v>48.863452534122978</v>
      </c>
      <c r="AG48" s="391">
        <v>43.895503510249355</v>
      </c>
      <c r="AH48" s="391">
        <v>47.049315682635118</v>
      </c>
      <c r="AI48" s="391">
        <v>48.917649621223113</v>
      </c>
      <c r="AJ48" s="391">
        <v>49.75496317635104</v>
      </c>
    </row>
  </sheetData>
  <mergeCells count="8">
    <mergeCell ref="U44:AJ44"/>
    <mergeCell ref="B20:S20"/>
    <mergeCell ref="B2:S2"/>
    <mergeCell ref="B24:S24"/>
    <mergeCell ref="B42:S42"/>
    <mergeCell ref="U2:AJ2"/>
    <mergeCell ref="U20:AJ20"/>
    <mergeCell ref="U26:AJ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3:Z35"/>
  <sheetViews>
    <sheetView showGridLines="0" zoomScale="85" zoomScaleNormal="85" workbookViewId="0">
      <selection activeCell="K4" sqref="K4:P10"/>
    </sheetView>
  </sheetViews>
  <sheetFormatPr defaultRowHeight="13.5" x14ac:dyDescent="0.25"/>
  <cols>
    <col min="1" max="1" width="9.140625" style="40"/>
    <col min="2" max="2" width="23.5703125" style="40" bestFit="1" customWidth="1"/>
    <col min="3" max="3" width="12" style="40" customWidth="1"/>
    <col min="4" max="4" width="9.140625" style="393"/>
    <col min="5" max="5" width="30.85546875" style="40" bestFit="1" customWidth="1"/>
    <col min="6" max="9" width="9.140625" style="40"/>
    <col min="10" max="10" width="19.28515625" style="40" bestFit="1" customWidth="1"/>
    <col min="11" max="16384" width="9.140625" style="40"/>
  </cols>
  <sheetData>
    <row r="3" spans="1:26" ht="15.75" customHeight="1" thickBot="1" x14ac:dyDescent="0.3">
      <c r="A3" s="922" t="s">
        <v>703</v>
      </c>
      <c r="B3" s="922"/>
      <c r="C3" s="922"/>
      <c r="D3" s="771"/>
      <c r="E3" s="919" t="s">
        <v>666</v>
      </c>
      <c r="F3" s="919"/>
      <c r="J3" s="760"/>
      <c r="K3" s="772">
        <v>2015</v>
      </c>
      <c r="L3" s="772">
        <v>2016</v>
      </c>
      <c r="M3" s="772">
        <v>2017</v>
      </c>
      <c r="N3" s="772">
        <v>2018</v>
      </c>
      <c r="O3" s="772">
        <v>2019</v>
      </c>
      <c r="P3" s="772">
        <v>2020</v>
      </c>
      <c r="Q3" s="773"/>
      <c r="R3" s="773"/>
      <c r="S3" s="733"/>
      <c r="T3" s="733"/>
      <c r="U3" s="733"/>
      <c r="V3" s="733"/>
      <c r="W3" s="733"/>
      <c r="X3" s="733"/>
      <c r="Y3" s="733"/>
      <c r="Z3" s="733"/>
    </row>
    <row r="4" spans="1:26" x14ac:dyDescent="0.25">
      <c r="B4" s="737"/>
      <c r="C4" s="10"/>
      <c r="D4" s="735"/>
      <c r="E4" s="76"/>
      <c r="J4" s="757" t="s">
        <v>127</v>
      </c>
      <c r="K4" s="758">
        <v>16.859885351159399</v>
      </c>
      <c r="L4" s="758">
        <v>-9.2529739852169293</v>
      </c>
      <c r="M4" s="758">
        <v>3.0211065920432656</v>
      </c>
      <c r="N4" s="758">
        <v>1.8941852903703316</v>
      </c>
      <c r="O4" s="758">
        <v>1.9802958372091561</v>
      </c>
      <c r="P4" s="758">
        <v>3.5975888672075795</v>
      </c>
      <c r="Q4" s="758"/>
      <c r="R4" s="758"/>
      <c r="S4" s="733"/>
      <c r="T4" s="733"/>
      <c r="U4" s="733"/>
      <c r="V4" s="733"/>
      <c r="W4" s="733"/>
      <c r="X4" s="733"/>
      <c r="Y4" s="733"/>
      <c r="Z4" s="733"/>
    </row>
    <row r="5" spans="1:26" x14ac:dyDescent="0.25">
      <c r="B5" s="86"/>
      <c r="C5" s="85"/>
      <c r="D5" s="463"/>
      <c r="E5" s="84"/>
      <c r="J5" s="757" t="s">
        <v>695</v>
      </c>
      <c r="K5" s="758"/>
      <c r="L5" s="758"/>
      <c r="M5" s="758"/>
      <c r="N5" s="758"/>
      <c r="O5" s="758"/>
      <c r="P5" s="758"/>
      <c r="Q5" s="758"/>
      <c r="R5" s="758"/>
      <c r="S5" s="733"/>
      <c r="T5" s="733"/>
      <c r="U5" s="733"/>
      <c r="V5" s="733"/>
      <c r="W5" s="733"/>
      <c r="X5" s="733"/>
      <c r="Y5" s="733"/>
      <c r="Z5" s="733"/>
    </row>
    <row r="6" spans="1:26" x14ac:dyDescent="0.25">
      <c r="J6" s="757" t="s">
        <v>696</v>
      </c>
      <c r="K6" s="758">
        <v>3.363646915282906</v>
      </c>
      <c r="L6" s="758">
        <v>1.9541824720735339</v>
      </c>
      <c r="M6" s="758">
        <v>-2.8762429410462165</v>
      </c>
      <c r="N6" s="758">
        <v>4.3818936729722893</v>
      </c>
      <c r="O6" s="758">
        <v>3.8719560283515531</v>
      </c>
      <c r="P6" s="758">
        <v>5.334407257524</v>
      </c>
      <c r="Q6" s="758"/>
      <c r="R6" s="758"/>
      <c r="S6" s="733"/>
      <c r="T6" s="733"/>
      <c r="U6" s="733"/>
      <c r="V6" s="733"/>
      <c r="W6" s="733"/>
      <c r="X6" s="733"/>
      <c r="Y6" s="733"/>
      <c r="Z6" s="733"/>
    </row>
    <row r="7" spans="1:26" x14ac:dyDescent="0.25">
      <c r="J7" s="757" t="s">
        <v>697</v>
      </c>
      <c r="K7" s="758">
        <v>12.437699183717744</v>
      </c>
      <c r="L7" s="758">
        <v>-12.160549152790448</v>
      </c>
      <c r="M7" s="758">
        <v>2.3196110128125729</v>
      </c>
      <c r="N7" s="758">
        <v>-1.0831425204839096</v>
      </c>
      <c r="O7" s="758">
        <v>0</v>
      </c>
      <c r="P7" s="758">
        <v>0</v>
      </c>
      <c r="Q7" s="758"/>
      <c r="R7" s="758"/>
      <c r="S7" s="733"/>
      <c r="T7" s="733"/>
      <c r="U7" s="733"/>
      <c r="V7" s="733"/>
      <c r="W7" s="733"/>
      <c r="X7" s="733"/>
      <c r="Y7" s="733"/>
      <c r="Z7" s="733"/>
    </row>
    <row r="8" spans="1:26" x14ac:dyDescent="0.25">
      <c r="J8" s="757" t="s">
        <v>324</v>
      </c>
      <c r="K8" s="758">
        <v>1.0583985897179067</v>
      </c>
      <c r="L8" s="758">
        <v>0.67557100765547129</v>
      </c>
      <c r="M8" s="758">
        <v>0.73254688580084226</v>
      </c>
      <c r="N8" s="758">
        <v>-3.2485943829693475</v>
      </c>
      <c r="O8" s="758">
        <v>0</v>
      </c>
      <c r="P8" s="758">
        <v>0</v>
      </c>
      <c r="Q8" s="758"/>
      <c r="R8" s="758"/>
      <c r="S8" s="733"/>
      <c r="T8" s="733"/>
      <c r="U8" s="733"/>
      <c r="V8" s="733"/>
      <c r="W8" s="733"/>
      <c r="X8" s="733"/>
      <c r="Y8" s="733"/>
      <c r="Z8" s="733"/>
    </row>
    <row r="9" spans="1:26" x14ac:dyDescent="0.25">
      <c r="J9" s="733" t="s">
        <v>323</v>
      </c>
      <c r="K9" s="758">
        <v>0</v>
      </c>
      <c r="L9" s="758">
        <v>0.27782168784451572</v>
      </c>
      <c r="M9" s="758">
        <v>0</v>
      </c>
      <c r="N9" s="758">
        <v>0</v>
      </c>
      <c r="O9" s="758">
        <v>0</v>
      </c>
      <c r="P9" s="758">
        <v>0</v>
      </c>
      <c r="Q9" s="758"/>
      <c r="R9" s="758"/>
      <c r="S9" s="733"/>
      <c r="T9" s="733"/>
      <c r="U9" s="733"/>
      <c r="V9" s="733"/>
      <c r="W9" s="733"/>
      <c r="X9" s="733"/>
      <c r="Y9" s="733"/>
      <c r="Z9" s="733"/>
    </row>
    <row r="10" spans="1:26" x14ac:dyDescent="0.25">
      <c r="J10" s="733" t="s">
        <v>698</v>
      </c>
      <c r="K10" s="733">
        <v>0</v>
      </c>
      <c r="L10" s="733">
        <v>0</v>
      </c>
      <c r="M10" s="758">
        <v>0</v>
      </c>
      <c r="N10" s="758">
        <v>0</v>
      </c>
      <c r="O10" s="758">
        <v>0</v>
      </c>
      <c r="P10" s="758">
        <v>0</v>
      </c>
      <c r="Q10" s="758"/>
      <c r="R10" s="758"/>
      <c r="S10" s="733"/>
      <c r="T10" s="733"/>
      <c r="U10" s="733"/>
      <c r="V10" s="733"/>
      <c r="W10" s="733"/>
      <c r="X10" s="733"/>
      <c r="Y10" s="733"/>
      <c r="Z10" s="733"/>
    </row>
    <row r="11" spans="1:26" x14ac:dyDescent="0.25">
      <c r="J11" s="733"/>
      <c r="K11" s="733"/>
      <c r="L11" s="733"/>
      <c r="M11" s="733"/>
      <c r="N11" s="733"/>
      <c r="O11" s="733"/>
      <c r="P11" s="733"/>
      <c r="Q11" s="733"/>
      <c r="R11" s="733"/>
      <c r="S11" s="733"/>
      <c r="T11" s="733"/>
      <c r="U11" s="733"/>
      <c r="V11" s="733"/>
      <c r="W11" s="733"/>
      <c r="X11" s="733"/>
      <c r="Y11" s="733"/>
      <c r="Z11" s="733"/>
    </row>
    <row r="12" spans="1:26" ht="14.25" thickBot="1" x14ac:dyDescent="0.3">
      <c r="J12" s="760"/>
      <c r="K12" s="773" t="s">
        <v>206</v>
      </c>
      <c r="L12" s="773" t="s">
        <v>207</v>
      </c>
      <c r="M12" s="773" t="s">
        <v>208</v>
      </c>
      <c r="N12" s="773" t="s">
        <v>209</v>
      </c>
      <c r="O12" s="773" t="s">
        <v>632</v>
      </c>
      <c r="P12" s="773" t="s">
        <v>633</v>
      </c>
      <c r="Q12" s="773" t="s">
        <v>634</v>
      </c>
      <c r="R12" s="773" t="s">
        <v>635</v>
      </c>
      <c r="S12" s="733"/>
      <c r="T12" s="733"/>
      <c r="U12" s="733"/>
      <c r="V12" s="733"/>
      <c r="W12" s="733"/>
      <c r="X12" s="733"/>
      <c r="Y12" s="733"/>
      <c r="Z12" s="733"/>
    </row>
    <row r="13" spans="1:26" x14ac:dyDescent="0.25">
      <c r="J13" s="757" t="s">
        <v>210</v>
      </c>
      <c r="K13" s="770">
        <v>1.4762249463029209</v>
      </c>
      <c r="L13" s="770">
        <v>2.1748210618793546</v>
      </c>
      <c r="M13" s="770">
        <v>2.3229578600539305</v>
      </c>
      <c r="N13" s="770">
        <v>2.5536884076502795</v>
      </c>
      <c r="O13" s="770">
        <v>2.0885274582816367</v>
      </c>
      <c r="P13" s="770">
        <v>2.108372616810029</v>
      </c>
      <c r="Q13" s="770">
        <v>1.6222966796540002</v>
      </c>
      <c r="R13" s="770">
        <v>1.4372120883939796</v>
      </c>
      <c r="S13" s="733"/>
      <c r="T13" s="733"/>
      <c r="U13" s="733"/>
      <c r="V13" s="733"/>
      <c r="W13" s="733"/>
      <c r="X13" s="733"/>
      <c r="Y13" s="733"/>
      <c r="Z13" s="733"/>
    </row>
    <row r="14" spans="1:26" x14ac:dyDescent="0.25">
      <c r="J14" s="757" t="s">
        <v>127</v>
      </c>
      <c r="K14" s="770">
        <v>1.2797739813198319</v>
      </c>
      <c r="L14" s="770">
        <v>2.8880821652489197</v>
      </c>
      <c r="M14" s="770">
        <v>4.3049185740226381</v>
      </c>
      <c r="N14" s="770">
        <v>5.3149846929950213</v>
      </c>
      <c r="O14" s="770">
        <v>0.32920824541514926</v>
      </c>
      <c r="P14" s="770">
        <v>-0.24961152439997644</v>
      </c>
      <c r="Q14" s="770">
        <v>-4.1275026546234583</v>
      </c>
      <c r="R14" s="770">
        <v>-4.2326448569124597</v>
      </c>
      <c r="S14" s="733"/>
      <c r="T14" s="733"/>
      <c r="U14" s="733"/>
      <c r="V14" s="733"/>
      <c r="W14" s="733"/>
      <c r="X14" s="733"/>
      <c r="Y14" s="733"/>
      <c r="Z14" s="733"/>
    </row>
    <row r="15" spans="1:26" x14ac:dyDescent="0.25">
      <c r="J15" s="757" t="s">
        <v>211</v>
      </c>
      <c r="K15" s="758">
        <f>K17-K13-K14-K16</f>
        <v>-0.31279244405017048</v>
      </c>
      <c r="L15" s="758">
        <f t="shared" ref="L15:R15" si="0">L17-L13-L14-L16</f>
        <v>-0.91926428916606595</v>
      </c>
      <c r="M15" s="758">
        <f t="shared" si="0"/>
        <v>-1.1039085532814206</v>
      </c>
      <c r="N15" s="758">
        <f t="shared" si="0"/>
        <v>-2.7036165669638383</v>
      </c>
      <c r="O15" s="758">
        <f t="shared" si="0"/>
        <v>0.91317608881791379</v>
      </c>
      <c r="P15" s="758">
        <f t="shared" si="0"/>
        <v>-0.26135490924111315</v>
      </c>
      <c r="Q15" s="758">
        <f t="shared" si="0"/>
        <v>2.1282670907370096</v>
      </c>
      <c r="R15" s="758">
        <f t="shared" si="0"/>
        <v>3.8189051220814525</v>
      </c>
    </row>
    <row r="16" spans="1:26" ht="16.5" customHeight="1" x14ac:dyDescent="0.25">
      <c r="B16" s="918" t="s">
        <v>284</v>
      </c>
      <c r="C16" s="918"/>
      <c r="E16" s="918" t="s">
        <v>284</v>
      </c>
      <c r="F16" s="918"/>
      <c r="J16" s="757" t="s">
        <v>212</v>
      </c>
      <c r="K16" s="758">
        <v>0.7354734474160104</v>
      </c>
      <c r="L16" s="758">
        <v>-0.53358130569578044</v>
      </c>
      <c r="M16" s="758">
        <v>-1.6510478717342496</v>
      </c>
      <c r="N16" s="758">
        <v>-0.57897985961008047</v>
      </c>
      <c r="O16" s="758">
        <v>5.4147071755196743E-2</v>
      </c>
      <c r="P16" s="758">
        <v>2.2223630748748087</v>
      </c>
      <c r="Q16" s="758">
        <v>3.3312970573981651</v>
      </c>
      <c r="R16" s="758">
        <v>1.9973931622506249</v>
      </c>
    </row>
    <row r="17" spans="1:18" ht="15.75" customHeight="1" x14ac:dyDescent="0.25">
      <c r="B17" s="918" t="s">
        <v>705</v>
      </c>
      <c r="C17" s="918"/>
      <c r="D17" s="142"/>
      <c r="J17" s="757" t="s">
        <v>108</v>
      </c>
      <c r="K17" s="770">
        <v>3.1786799309885927</v>
      </c>
      <c r="L17" s="770">
        <v>3.610057632266428</v>
      </c>
      <c r="M17" s="770">
        <v>3.8729200090608984</v>
      </c>
      <c r="N17" s="770">
        <v>4.5860766740713821</v>
      </c>
      <c r="O17" s="770">
        <v>3.3850588642698964</v>
      </c>
      <c r="P17" s="770">
        <v>3.8197692580437481</v>
      </c>
      <c r="Q17" s="770">
        <v>2.9543581731657165</v>
      </c>
      <c r="R17" s="770">
        <v>3.0208655158135977</v>
      </c>
    </row>
    <row r="18" spans="1:18" ht="27" customHeight="1" thickBot="1" x14ac:dyDescent="0.3">
      <c r="A18" s="919" t="s">
        <v>706</v>
      </c>
      <c r="B18" s="919"/>
      <c r="C18" s="919"/>
      <c r="E18" s="919" t="s">
        <v>667</v>
      </c>
      <c r="F18" s="919"/>
      <c r="J18" s="733"/>
      <c r="K18" s="733"/>
      <c r="L18" s="733"/>
      <c r="M18" s="733"/>
      <c r="N18" s="733"/>
      <c r="O18" s="733"/>
      <c r="P18" s="733"/>
      <c r="Q18" s="733"/>
      <c r="R18" s="733"/>
    </row>
    <row r="21" spans="1:18" ht="14.25" thickBot="1" x14ac:dyDescent="0.3">
      <c r="J21" s="760"/>
      <c r="K21" s="772">
        <v>2015</v>
      </c>
      <c r="L21" s="772">
        <v>2016</v>
      </c>
      <c r="M21" s="772">
        <v>2017</v>
      </c>
      <c r="N21" s="772">
        <v>2018</v>
      </c>
      <c r="O21" s="772">
        <v>2019</v>
      </c>
      <c r="P21" s="772">
        <v>2020</v>
      </c>
      <c r="Q21" s="773"/>
      <c r="R21" s="773"/>
    </row>
    <row r="22" spans="1:18" x14ac:dyDescent="0.25">
      <c r="J22" s="757" t="s">
        <v>699</v>
      </c>
      <c r="K22" s="758">
        <v>16.859885351159399</v>
      </c>
      <c r="L22" s="758">
        <v>-9.2529739852169293</v>
      </c>
      <c r="M22" s="758">
        <v>3.0211065920432656</v>
      </c>
      <c r="N22" s="758">
        <v>1.8941852903703316</v>
      </c>
      <c r="O22" s="758">
        <v>1.9802958372091561</v>
      </c>
      <c r="P22" s="758">
        <v>3.5975888672075795</v>
      </c>
      <c r="Q22" s="758"/>
      <c r="R22" s="758"/>
    </row>
    <row r="23" spans="1:18" x14ac:dyDescent="0.25">
      <c r="J23" s="757" t="s">
        <v>700</v>
      </c>
      <c r="K23" s="758"/>
      <c r="L23" s="758"/>
      <c r="M23" s="758"/>
      <c r="N23" s="758"/>
      <c r="O23" s="758"/>
      <c r="P23" s="758"/>
      <c r="Q23" s="758"/>
      <c r="R23" s="758"/>
    </row>
    <row r="24" spans="1:18" x14ac:dyDescent="0.25">
      <c r="J24" s="757" t="s">
        <v>701</v>
      </c>
      <c r="K24" s="758">
        <v>3.363646915282906</v>
      </c>
      <c r="L24" s="758">
        <v>1.9541824720735339</v>
      </c>
      <c r="M24" s="758">
        <v>-2.8762429410462165</v>
      </c>
      <c r="N24" s="758">
        <v>4.3818936729722893</v>
      </c>
      <c r="O24" s="758">
        <v>3.8719560283515531</v>
      </c>
      <c r="P24" s="758">
        <v>5.334407257524</v>
      </c>
      <c r="Q24" s="758"/>
      <c r="R24" s="758"/>
    </row>
    <row r="25" spans="1:18" x14ac:dyDescent="0.25">
      <c r="J25" s="757" t="s">
        <v>702</v>
      </c>
      <c r="K25" s="758">
        <v>12.437699183717744</v>
      </c>
      <c r="L25" s="758">
        <v>-12.160549152790448</v>
      </c>
      <c r="M25" s="758">
        <v>2.3196110128125729</v>
      </c>
      <c r="N25" s="758">
        <v>-1.0831425204839096</v>
      </c>
      <c r="O25" s="758">
        <v>0</v>
      </c>
      <c r="P25" s="758">
        <v>0</v>
      </c>
      <c r="Q25" s="758"/>
      <c r="R25" s="758"/>
    </row>
    <row r="26" spans="1:18" x14ac:dyDescent="0.25">
      <c r="J26" s="757" t="s">
        <v>324</v>
      </c>
      <c r="K26" s="758">
        <v>1.0583985897179067</v>
      </c>
      <c r="L26" s="758">
        <v>0.67557100765547129</v>
      </c>
      <c r="M26" s="758">
        <v>0.73254688580084226</v>
      </c>
      <c r="N26" s="758">
        <v>-3.2485943829693475</v>
      </c>
      <c r="O26" s="758">
        <v>0</v>
      </c>
      <c r="P26" s="758">
        <v>0</v>
      </c>
      <c r="Q26" s="758"/>
      <c r="R26" s="758"/>
    </row>
    <row r="27" spans="1:18" x14ac:dyDescent="0.25">
      <c r="J27" s="733" t="s">
        <v>323</v>
      </c>
      <c r="K27" s="758">
        <v>0</v>
      </c>
      <c r="L27" s="758">
        <v>0.27782168784451572</v>
      </c>
      <c r="M27" s="758">
        <v>0</v>
      </c>
      <c r="N27" s="758">
        <v>0</v>
      </c>
      <c r="O27" s="758">
        <v>0</v>
      </c>
      <c r="P27" s="758">
        <v>0</v>
      </c>
      <c r="Q27" s="758"/>
      <c r="R27" s="758"/>
    </row>
    <row r="28" spans="1:18" x14ac:dyDescent="0.25">
      <c r="J28" s="733" t="s">
        <v>698</v>
      </c>
      <c r="K28" s="733">
        <v>0</v>
      </c>
      <c r="L28" s="733">
        <v>0</v>
      </c>
      <c r="M28" s="758">
        <v>0</v>
      </c>
      <c r="N28" s="758">
        <v>0</v>
      </c>
      <c r="O28" s="758">
        <v>0</v>
      </c>
      <c r="P28" s="758">
        <v>0</v>
      </c>
    </row>
    <row r="29" spans="1:18" x14ac:dyDescent="0.25">
      <c r="J29" s="733"/>
    </row>
    <row r="30" spans="1:18" ht="14.25" thickBot="1" x14ac:dyDescent="0.3">
      <c r="J30" s="760"/>
      <c r="K30" s="773" t="s">
        <v>206</v>
      </c>
      <c r="L30" s="773" t="s">
        <v>207</v>
      </c>
      <c r="M30" s="773" t="s">
        <v>208</v>
      </c>
      <c r="N30" s="773" t="s">
        <v>209</v>
      </c>
      <c r="O30" s="773" t="s">
        <v>632</v>
      </c>
      <c r="P30" s="773" t="s">
        <v>633</v>
      </c>
      <c r="Q30" s="773" t="s">
        <v>634</v>
      </c>
      <c r="R30" s="773" t="s">
        <v>635</v>
      </c>
    </row>
    <row r="31" spans="1:18" x14ac:dyDescent="0.25">
      <c r="B31" s="918" t="s">
        <v>523</v>
      </c>
      <c r="C31" s="918"/>
      <c r="E31" s="918" t="s">
        <v>523</v>
      </c>
      <c r="F31" s="918"/>
      <c r="J31" s="757" t="s">
        <v>371</v>
      </c>
      <c r="K31" s="770">
        <v>1.4762249463029209</v>
      </c>
      <c r="L31" s="770">
        <v>2.1748210618793546</v>
      </c>
      <c r="M31" s="770">
        <v>2.3229578600539305</v>
      </c>
      <c r="N31" s="770">
        <v>2.5536884076502795</v>
      </c>
      <c r="O31" s="770">
        <v>2.0885274582816367</v>
      </c>
      <c r="P31" s="770">
        <v>2.108372616810029</v>
      </c>
      <c r="Q31" s="770">
        <v>1.6222966796540002</v>
      </c>
      <c r="R31" s="770">
        <v>1.4372120883939796</v>
      </c>
    </row>
    <row r="32" spans="1:18" x14ac:dyDescent="0.25">
      <c r="B32" s="918" t="s">
        <v>704</v>
      </c>
      <c r="C32" s="918"/>
      <c r="J32" s="757" t="s">
        <v>372</v>
      </c>
      <c r="K32" s="770">
        <v>1.2797739813198319</v>
      </c>
      <c r="L32" s="770">
        <v>2.8880821652489197</v>
      </c>
      <c r="M32" s="770">
        <v>4.3049185740226381</v>
      </c>
      <c r="N32" s="770">
        <v>5.3149846929950213</v>
      </c>
      <c r="O32" s="770">
        <v>0.32920824541514926</v>
      </c>
      <c r="P32" s="770">
        <v>-0.24961152439997644</v>
      </c>
      <c r="Q32" s="770">
        <v>-4.1275026546234583</v>
      </c>
      <c r="R32" s="770">
        <v>-4.2326448569124597</v>
      </c>
    </row>
    <row r="33" spans="10:18" x14ac:dyDescent="0.25">
      <c r="J33" s="757" t="s">
        <v>373</v>
      </c>
      <c r="K33" s="758">
        <f>K35-K31-K32-K34</f>
        <v>-0.31279244405017048</v>
      </c>
      <c r="L33" s="758">
        <f t="shared" ref="L33:R33" si="1">L35-L31-L32-L34</f>
        <v>-0.91926428916606595</v>
      </c>
      <c r="M33" s="758">
        <f t="shared" si="1"/>
        <v>-1.1039085532814206</v>
      </c>
      <c r="N33" s="758">
        <f t="shared" si="1"/>
        <v>-2.7036165669638383</v>
      </c>
      <c r="O33" s="758">
        <f t="shared" si="1"/>
        <v>0.91317608881791379</v>
      </c>
      <c r="P33" s="758">
        <f t="shared" si="1"/>
        <v>-0.26135490924111315</v>
      </c>
      <c r="Q33" s="758">
        <f t="shared" si="1"/>
        <v>2.1282670907370096</v>
      </c>
      <c r="R33" s="758">
        <f t="shared" si="1"/>
        <v>3.8189051220814525</v>
      </c>
    </row>
    <row r="34" spans="10:18" x14ac:dyDescent="0.25">
      <c r="J34" s="757" t="s">
        <v>374</v>
      </c>
      <c r="K34" s="758">
        <v>0.7354734474160104</v>
      </c>
      <c r="L34" s="758">
        <v>-0.53358130569578044</v>
      </c>
      <c r="M34" s="758">
        <v>-1.6510478717342496</v>
      </c>
      <c r="N34" s="758">
        <v>-0.57897985961008047</v>
      </c>
      <c r="O34" s="758">
        <v>5.4147071755196743E-2</v>
      </c>
      <c r="P34" s="758">
        <v>2.2223630748748087</v>
      </c>
      <c r="Q34" s="758">
        <v>3.3312970573981651</v>
      </c>
      <c r="R34" s="758">
        <v>1.9973931622506249</v>
      </c>
    </row>
    <row r="35" spans="10:18" x14ac:dyDescent="0.25">
      <c r="J35" s="757" t="s">
        <v>340</v>
      </c>
      <c r="K35" s="770">
        <v>3.1786799309885927</v>
      </c>
      <c r="L35" s="770">
        <v>3.610057632266428</v>
      </c>
      <c r="M35" s="770">
        <v>3.8729200090608984</v>
      </c>
      <c r="N35" s="770">
        <v>4.5860766740713821</v>
      </c>
      <c r="O35" s="770">
        <v>3.3850588642698964</v>
      </c>
      <c r="P35" s="770">
        <v>3.8197692580437481</v>
      </c>
      <c r="Q35" s="770">
        <v>2.9543581731657165</v>
      </c>
      <c r="R35" s="770">
        <v>3.0208655158135977</v>
      </c>
    </row>
  </sheetData>
  <mergeCells count="10">
    <mergeCell ref="B32:C32"/>
    <mergeCell ref="B17:C17"/>
    <mergeCell ref="B31:C31"/>
    <mergeCell ref="E31:F31"/>
    <mergeCell ref="A3:C3"/>
    <mergeCell ref="E3:F3"/>
    <mergeCell ref="A18:C18"/>
    <mergeCell ref="E18:F18"/>
    <mergeCell ref="B16:C16"/>
    <mergeCell ref="E16:F16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9"/>
  <dimension ref="B2:AA40"/>
  <sheetViews>
    <sheetView showGridLines="0" zoomScale="85" zoomScaleNormal="85" workbookViewId="0">
      <selection activeCell="A5" sqref="A5"/>
    </sheetView>
  </sheetViews>
  <sheetFormatPr defaultRowHeight="13.5" x14ac:dyDescent="0.25"/>
  <cols>
    <col min="1" max="1" width="17" style="40" customWidth="1"/>
    <col min="2" max="15" width="9.140625" style="40"/>
    <col min="16" max="16" width="17" style="40" customWidth="1"/>
    <col min="17" max="16384" width="9.140625" style="40"/>
  </cols>
  <sheetData>
    <row r="2" spans="2:27" ht="14.25" thickBot="1" x14ac:dyDescent="0.3">
      <c r="B2" s="951" t="s">
        <v>1348</v>
      </c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P2" s="951" t="s">
        <v>1356</v>
      </c>
      <c r="Q2" s="951"/>
      <c r="R2" s="951"/>
      <c r="S2" s="951"/>
      <c r="T2" s="951"/>
      <c r="U2" s="951"/>
      <c r="V2" s="951"/>
      <c r="W2" s="951"/>
      <c r="X2" s="951"/>
      <c r="Y2" s="951"/>
      <c r="Z2" s="951"/>
      <c r="AA2" s="951"/>
    </row>
    <row r="17" spans="2:27" ht="15.75" customHeight="1" thickBot="1" x14ac:dyDescent="0.3">
      <c r="B17" s="951" t="s">
        <v>1350</v>
      </c>
      <c r="C17" s="951"/>
      <c r="D17" s="951"/>
      <c r="E17" s="951"/>
      <c r="F17" s="951"/>
      <c r="G17" s="951"/>
      <c r="H17" s="951"/>
      <c r="I17" s="951"/>
      <c r="J17" s="951"/>
      <c r="K17" s="951"/>
      <c r="L17" s="951"/>
      <c r="M17" s="951"/>
      <c r="N17" s="951"/>
      <c r="P17" s="951" t="s">
        <v>1357</v>
      </c>
      <c r="Q17" s="951"/>
      <c r="R17" s="951"/>
      <c r="S17" s="951"/>
      <c r="T17" s="951"/>
      <c r="U17" s="951"/>
      <c r="V17" s="951"/>
      <c r="W17" s="951"/>
      <c r="X17" s="951"/>
      <c r="Y17" s="951"/>
      <c r="Z17" s="951"/>
      <c r="AA17" s="951"/>
    </row>
    <row r="18" spans="2:27" x14ac:dyDescent="0.25">
      <c r="B18" s="390"/>
      <c r="C18" s="395">
        <v>2004</v>
      </c>
      <c r="D18" s="395">
        <v>2005</v>
      </c>
      <c r="E18" s="395">
        <v>2006</v>
      </c>
      <c r="F18" s="395">
        <v>2007</v>
      </c>
      <c r="G18" s="395">
        <v>2008</v>
      </c>
      <c r="H18" s="395">
        <v>2009</v>
      </c>
      <c r="I18" s="395">
        <v>2010</v>
      </c>
      <c r="J18" s="395">
        <v>2011</v>
      </c>
      <c r="K18" s="395">
        <v>2012</v>
      </c>
      <c r="L18" s="395">
        <v>2013</v>
      </c>
      <c r="M18" s="395">
        <v>2014</v>
      </c>
      <c r="N18" s="395">
        <v>2015</v>
      </c>
      <c r="P18" s="390"/>
      <c r="Q18" s="395">
        <v>2004</v>
      </c>
      <c r="R18" s="395">
        <v>2005</v>
      </c>
      <c r="S18" s="395">
        <v>2006</v>
      </c>
      <c r="T18" s="395">
        <v>2007</v>
      </c>
      <c r="U18" s="395">
        <v>2008</v>
      </c>
      <c r="V18" s="395">
        <v>2009</v>
      </c>
      <c r="W18" s="395">
        <v>2010</v>
      </c>
      <c r="X18" s="395">
        <v>2011</v>
      </c>
      <c r="Y18" s="395">
        <v>2012</v>
      </c>
      <c r="Z18" s="395">
        <v>2013</v>
      </c>
      <c r="AA18" s="395">
        <v>2014</v>
      </c>
    </row>
    <row r="19" spans="2:27" x14ac:dyDescent="0.25">
      <c r="B19" s="390" t="s">
        <v>1349</v>
      </c>
      <c r="C19" s="391">
        <v>18.713599522657866</v>
      </c>
      <c r="D19" s="391">
        <v>21.490793825832643</v>
      </c>
      <c r="E19" s="391">
        <v>18.843062587856547</v>
      </c>
      <c r="F19" s="391">
        <v>18.140236451408249</v>
      </c>
      <c r="G19" s="391">
        <v>18.883600568541983</v>
      </c>
      <c r="H19" s="391">
        <v>21.690015655841016</v>
      </c>
      <c r="I19" s="391">
        <v>18.026393351779486</v>
      </c>
      <c r="J19" s="391">
        <v>17.54052004162666</v>
      </c>
      <c r="K19" s="391">
        <v>16.954688835285907</v>
      </c>
      <c r="L19" s="391">
        <v>21.267097921603295</v>
      </c>
      <c r="M19" s="391">
        <v>26.00342944100068</v>
      </c>
      <c r="N19" s="391">
        <v>29.502820498236797</v>
      </c>
      <c r="P19" s="40" t="s">
        <v>1358</v>
      </c>
      <c r="Q19" s="389">
        <v>23.505997745706981</v>
      </c>
      <c r="R19" s="389">
        <v>21.512613425555564</v>
      </c>
      <c r="S19" s="389">
        <v>26.620713930615381</v>
      </c>
      <c r="T19" s="389">
        <v>31.445393334253612</v>
      </c>
      <c r="U19" s="389">
        <v>31.279497216081154</v>
      </c>
      <c r="V19" s="389">
        <v>34.884118077650236</v>
      </c>
      <c r="W19" s="389">
        <v>35.562987066186544</v>
      </c>
      <c r="X19" s="389">
        <v>38.219907893613644</v>
      </c>
      <c r="Y19" s="389">
        <v>40.957819263797788</v>
      </c>
      <c r="Z19" s="389">
        <v>37.013535189253865</v>
      </c>
      <c r="AA19" s="389">
        <v>31.801888102377362</v>
      </c>
    </row>
    <row r="20" spans="2:27" x14ac:dyDescent="0.25">
      <c r="P20" s="390" t="s">
        <v>1359</v>
      </c>
      <c r="Q20" s="391">
        <v>23.291131840693996</v>
      </c>
      <c r="R20" s="391">
        <v>13.990904009010254</v>
      </c>
      <c r="S20" s="391">
        <v>19.853339197268983</v>
      </c>
      <c r="T20" s="391">
        <v>22.940986192220095</v>
      </c>
      <c r="U20" s="391">
        <v>17.725267489712</v>
      </c>
      <c r="V20" s="391">
        <v>29.965607849222707</v>
      </c>
      <c r="W20" s="391">
        <v>37.536283014646109</v>
      </c>
      <c r="X20" s="391">
        <v>35.626965006000034</v>
      </c>
      <c r="Y20" s="391">
        <v>37.28780906777483</v>
      </c>
      <c r="Z20" s="391">
        <v>34.468265516397025</v>
      </c>
      <c r="AA20" s="391">
        <v>27.97347405582984</v>
      </c>
    </row>
    <row r="21" spans="2:27" ht="14.25" thickBot="1" x14ac:dyDescent="0.3">
      <c r="B21" s="951" t="s">
        <v>1351</v>
      </c>
      <c r="C21" s="951"/>
      <c r="D21" s="951"/>
      <c r="E21" s="951"/>
      <c r="F21" s="951"/>
      <c r="G21" s="951"/>
      <c r="H21" s="951"/>
      <c r="I21" s="951"/>
      <c r="J21" s="951"/>
      <c r="K21" s="951"/>
      <c r="L21" s="951"/>
      <c r="M21" s="951"/>
      <c r="N21" s="951"/>
    </row>
    <row r="22" spans="2:27" ht="14.25" thickBot="1" x14ac:dyDescent="0.3">
      <c r="P22" s="951" t="s">
        <v>1360</v>
      </c>
      <c r="Q22" s="951"/>
      <c r="R22" s="951"/>
      <c r="S22" s="951"/>
      <c r="T22" s="951"/>
      <c r="U22" s="951"/>
      <c r="V22" s="951"/>
      <c r="W22" s="951"/>
      <c r="X22" s="951"/>
      <c r="Y22" s="951"/>
      <c r="Z22" s="951"/>
      <c r="AA22" s="951"/>
    </row>
    <row r="36" spans="2:27" ht="14.25" thickBot="1" x14ac:dyDescent="0.3">
      <c r="B36" s="951" t="s">
        <v>1352</v>
      </c>
      <c r="C36" s="951"/>
      <c r="D36" s="951"/>
      <c r="E36" s="951"/>
      <c r="F36" s="951"/>
      <c r="G36" s="951"/>
      <c r="H36" s="951"/>
      <c r="I36" s="951"/>
      <c r="J36" s="951"/>
      <c r="K36" s="951"/>
      <c r="L36" s="951"/>
      <c r="M36" s="951"/>
      <c r="N36" s="951"/>
    </row>
    <row r="37" spans="2:27" ht="14.25" thickBot="1" x14ac:dyDescent="0.3">
      <c r="B37" s="390"/>
      <c r="C37" s="395">
        <v>2004</v>
      </c>
      <c r="D37" s="395">
        <v>2005</v>
      </c>
      <c r="E37" s="395">
        <v>2006</v>
      </c>
      <c r="F37" s="395">
        <v>2007</v>
      </c>
      <c r="G37" s="395">
        <v>2008</v>
      </c>
      <c r="H37" s="395">
        <v>2009</v>
      </c>
      <c r="I37" s="395">
        <v>2010</v>
      </c>
      <c r="J37" s="395">
        <v>2011</v>
      </c>
      <c r="K37" s="395">
        <v>2012</v>
      </c>
      <c r="L37" s="395">
        <v>2013</v>
      </c>
      <c r="M37" s="395">
        <v>2014</v>
      </c>
      <c r="N37" s="395">
        <v>2015</v>
      </c>
      <c r="P37" s="951" t="s">
        <v>1361</v>
      </c>
      <c r="Q37" s="951"/>
      <c r="R37" s="951"/>
      <c r="S37" s="951"/>
      <c r="T37" s="951"/>
      <c r="U37" s="951"/>
      <c r="V37" s="951"/>
      <c r="W37" s="951"/>
      <c r="X37" s="951"/>
      <c r="Y37" s="951"/>
      <c r="Z37" s="951"/>
      <c r="AA37" s="951"/>
    </row>
    <row r="38" spans="2:27" x14ac:dyDescent="0.25">
      <c r="B38" s="390" t="s">
        <v>1353</v>
      </c>
      <c r="C38" s="391">
        <v>18.713599522657866</v>
      </c>
      <c r="D38" s="391">
        <v>21.490793825832643</v>
      </c>
      <c r="E38" s="391">
        <v>18.843062587856547</v>
      </c>
      <c r="F38" s="391">
        <v>18.140236451408249</v>
      </c>
      <c r="G38" s="391">
        <v>18.883600568541983</v>
      </c>
      <c r="H38" s="391">
        <v>21.690015655841016</v>
      </c>
      <c r="I38" s="391">
        <v>18.026393351779486</v>
      </c>
      <c r="J38" s="391">
        <v>17.54052004162666</v>
      </c>
      <c r="K38" s="391">
        <v>16.954688835285907</v>
      </c>
      <c r="L38" s="391">
        <v>21.267097921603295</v>
      </c>
      <c r="M38" s="391">
        <v>26.00342944100068</v>
      </c>
      <c r="N38" s="391">
        <v>29.502820498236797</v>
      </c>
      <c r="P38" s="390"/>
      <c r="Q38" s="395">
        <v>2004</v>
      </c>
      <c r="R38" s="395">
        <v>2005</v>
      </c>
      <c r="S38" s="395">
        <v>2006</v>
      </c>
      <c r="T38" s="395">
        <v>2007</v>
      </c>
      <c r="U38" s="395">
        <v>2008</v>
      </c>
      <c r="V38" s="395">
        <v>2009</v>
      </c>
      <c r="W38" s="395">
        <v>2010</v>
      </c>
      <c r="X38" s="395">
        <v>2011</v>
      </c>
      <c r="Y38" s="395">
        <v>2012</v>
      </c>
      <c r="Z38" s="395">
        <v>2013</v>
      </c>
      <c r="AA38" s="395">
        <v>2014</v>
      </c>
    </row>
    <row r="39" spans="2:27" x14ac:dyDescent="0.25">
      <c r="P39" s="40" t="s">
        <v>1354</v>
      </c>
      <c r="Q39" s="389">
        <v>23.505997745706981</v>
      </c>
      <c r="R39" s="389">
        <v>21.512613425555564</v>
      </c>
      <c r="S39" s="389">
        <v>26.620713930615381</v>
      </c>
      <c r="T39" s="389">
        <v>31.445393334253612</v>
      </c>
      <c r="U39" s="389">
        <v>31.279497216081154</v>
      </c>
      <c r="V39" s="389">
        <v>34.884118077650236</v>
      </c>
      <c r="W39" s="389">
        <v>35.562987066186544</v>
      </c>
      <c r="X39" s="389">
        <v>38.219907893613644</v>
      </c>
      <c r="Y39" s="389">
        <v>40.957819263797788</v>
      </c>
      <c r="Z39" s="389">
        <v>37.013535189253865</v>
      </c>
      <c r="AA39" s="389">
        <v>31.801888102377362</v>
      </c>
    </row>
    <row r="40" spans="2:27" x14ac:dyDescent="0.25">
      <c r="P40" s="390" t="s">
        <v>1355</v>
      </c>
      <c r="Q40" s="391">
        <v>23.291131840693996</v>
      </c>
      <c r="R40" s="391">
        <v>13.990904009010254</v>
      </c>
      <c r="S40" s="391">
        <v>19.853339197268983</v>
      </c>
      <c r="T40" s="391">
        <v>22.940986192220095</v>
      </c>
      <c r="U40" s="391">
        <v>17.725267489712</v>
      </c>
      <c r="V40" s="391">
        <v>29.965607849222707</v>
      </c>
      <c r="W40" s="391">
        <v>37.536283014646109</v>
      </c>
      <c r="X40" s="391">
        <v>35.626965006000034</v>
      </c>
      <c r="Y40" s="391">
        <v>37.28780906777483</v>
      </c>
      <c r="Z40" s="391">
        <v>34.468265516397025</v>
      </c>
      <c r="AA40" s="391">
        <v>27.97347405582984</v>
      </c>
    </row>
  </sheetData>
  <mergeCells count="8">
    <mergeCell ref="P37:AA37"/>
    <mergeCell ref="P22:AA22"/>
    <mergeCell ref="B17:N17"/>
    <mergeCell ref="B2:N2"/>
    <mergeCell ref="B21:N21"/>
    <mergeCell ref="B36:N36"/>
    <mergeCell ref="P17:AA17"/>
    <mergeCell ref="P2:AA2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2"/>
  <dimension ref="B1:U79"/>
  <sheetViews>
    <sheetView topLeftCell="A24" zoomScale="85" zoomScaleNormal="85" workbookViewId="0">
      <selection activeCell="U79" sqref="U79"/>
    </sheetView>
  </sheetViews>
  <sheetFormatPr defaultRowHeight="13.5" x14ac:dyDescent="0.25"/>
  <cols>
    <col min="1" max="1" width="13.5703125" style="594" customWidth="1"/>
    <col min="2" max="3" width="9.140625" style="594"/>
    <col min="4" max="4" width="9.140625" style="594" customWidth="1"/>
    <col min="5" max="9" width="9.140625" style="594"/>
    <col min="10" max="10" width="14.140625" style="594" bestFit="1" customWidth="1"/>
    <col min="11" max="19" width="9.140625" style="594"/>
    <col min="20" max="20" width="10.7109375" style="594" bestFit="1" customWidth="1"/>
    <col min="21" max="16384" width="9.140625" style="594"/>
  </cols>
  <sheetData>
    <row r="1" spans="2:21" x14ac:dyDescent="0.25">
      <c r="J1" s="593" t="s">
        <v>1173</v>
      </c>
      <c r="K1" s="593" t="s">
        <v>52</v>
      </c>
    </row>
    <row r="2" spans="2:21" x14ac:dyDescent="0.25">
      <c r="J2" s="593" t="s">
        <v>1174</v>
      </c>
      <c r="K2" s="593" t="s">
        <v>1176</v>
      </c>
    </row>
    <row r="3" spans="2:21" x14ac:dyDescent="0.25">
      <c r="J3" s="593" t="s">
        <v>1175</v>
      </c>
      <c r="K3" s="593" t="s">
        <v>1177</v>
      </c>
    </row>
    <row r="4" spans="2:21" x14ac:dyDescent="0.25">
      <c r="B4" s="511" t="s">
        <v>1184</v>
      </c>
      <c r="C4" s="595"/>
      <c r="D4" s="595"/>
      <c r="E4" s="595"/>
      <c r="F4" s="596"/>
      <c r="G4" s="596"/>
      <c r="H4" s="602"/>
    </row>
    <row r="5" spans="2:21" x14ac:dyDescent="0.25">
      <c r="J5" s="597" t="s">
        <v>1171</v>
      </c>
      <c r="K5" s="597" t="s">
        <v>1144</v>
      </c>
      <c r="L5" s="597" t="s">
        <v>1145</v>
      </c>
      <c r="M5" s="597" t="s">
        <v>1146</v>
      </c>
      <c r="N5" s="597" t="s">
        <v>1147</v>
      </c>
      <c r="O5" s="597" t="s">
        <v>1148</v>
      </c>
      <c r="P5" s="597" t="s">
        <v>1149</v>
      </c>
      <c r="Q5" s="597" t="s">
        <v>1150</v>
      </c>
      <c r="R5" s="597" t="s">
        <v>1151</v>
      </c>
      <c r="S5" s="597" t="s">
        <v>1152</v>
      </c>
      <c r="T5" s="597" t="s">
        <v>1153</v>
      </c>
      <c r="U5" s="597">
        <v>2016</v>
      </c>
    </row>
    <row r="6" spans="2:21" x14ac:dyDescent="0.25">
      <c r="J6" s="597" t="s">
        <v>1154</v>
      </c>
      <c r="K6" s="598">
        <v>3.2</v>
      </c>
      <c r="L6" s="598">
        <v>3.2</v>
      </c>
      <c r="M6" s="598">
        <v>3.3</v>
      </c>
      <c r="N6" s="598">
        <v>3.6</v>
      </c>
      <c r="O6" s="598">
        <v>3.4</v>
      </c>
      <c r="P6" s="598">
        <v>3.1</v>
      </c>
      <c r="Q6" s="598">
        <v>2.9</v>
      </c>
      <c r="R6" s="598">
        <v>2.8</v>
      </c>
      <c r="S6" s="598">
        <v>2.7</v>
      </c>
      <c r="T6" s="598">
        <v>2.7</v>
      </c>
      <c r="U6" s="599">
        <v>2.6</v>
      </c>
    </row>
    <row r="7" spans="2:21" x14ac:dyDescent="0.25">
      <c r="J7" s="597" t="s">
        <v>1172</v>
      </c>
      <c r="K7" s="598">
        <v>4.9000000000000004</v>
      </c>
      <c r="L7" s="598">
        <v>4.5999999999999996</v>
      </c>
      <c r="M7" s="598">
        <v>5</v>
      </c>
      <c r="N7" s="598">
        <v>5.5</v>
      </c>
      <c r="O7" s="598">
        <v>4.7</v>
      </c>
      <c r="P7" s="598">
        <v>4.5</v>
      </c>
      <c r="Q7" s="598">
        <v>4.2</v>
      </c>
      <c r="R7" s="598">
        <v>3.7</v>
      </c>
      <c r="S7" s="598">
        <v>4.0999999999999996</v>
      </c>
      <c r="T7" s="598">
        <v>5.0999999999999996</v>
      </c>
      <c r="U7" s="599">
        <v>3.4</v>
      </c>
    </row>
    <row r="8" spans="2:21" x14ac:dyDescent="0.25">
      <c r="J8" s="597" t="s">
        <v>13</v>
      </c>
      <c r="K8" s="598">
        <v>5.2</v>
      </c>
      <c r="L8" s="598">
        <v>4.3</v>
      </c>
      <c r="M8" s="598">
        <v>3.2</v>
      </c>
      <c r="N8" s="598">
        <v>3.4</v>
      </c>
      <c r="O8" s="598">
        <v>3.7</v>
      </c>
      <c r="P8" s="598">
        <v>3.4</v>
      </c>
      <c r="Q8" s="598">
        <v>3.7</v>
      </c>
      <c r="R8" s="598">
        <v>4.4000000000000004</v>
      </c>
      <c r="S8" s="598">
        <v>5.4</v>
      </c>
      <c r="T8" s="598">
        <v>6.6</v>
      </c>
      <c r="U8" s="599">
        <v>3.1</v>
      </c>
    </row>
    <row r="9" spans="2:21" x14ac:dyDescent="0.25">
      <c r="J9" s="597" t="s">
        <v>12</v>
      </c>
      <c r="K9" s="598">
        <v>4</v>
      </c>
      <c r="L9" s="598">
        <v>4.5</v>
      </c>
      <c r="M9" s="598">
        <v>4.8</v>
      </c>
      <c r="N9" s="598">
        <v>5</v>
      </c>
      <c r="O9" s="598">
        <v>5.6</v>
      </c>
      <c r="P9" s="598">
        <v>5.8</v>
      </c>
      <c r="Q9" s="598">
        <v>4.7</v>
      </c>
      <c r="R9" s="598">
        <v>4.0999999999999996</v>
      </c>
      <c r="S9" s="598">
        <v>4.5</v>
      </c>
      <c r="T9" s="598">
        <v>4.4000000000000004</v>
      </c>
      <c r="U9" s="599">
        <v>3.3</v>
      </c>
    </row>
    <row r="10" spans="2:21" x14ac:dyDescent="0.25">
      <c r="J10" s="597" t="s">
        <v>170</v>
      </c>
      <c r="K10" s="598">
        <v>3.8</v>
      </c>
      <c r="L10" s="598">
        <v>3.2</v>
      </c>
      <c r="M10" s="598">
        <v>3.4</v>
      </c>
      <c r="N10" s="598">
        <v>3.9</v>
      </c>
      <c r="O10" s="598">
        <v>3.6</v>
      </c>
      <c r="P10" s="598">
        <v>3.8</v>
      </c>
      <c r="Q10" s="598">
        <v>3.4</v>
      </c>
      <c r="R10" s="598">
        <v>3.3</v>
      </c>
      <c r="S10" s="598">
        <v>4</v>
      </c>
      <c r="T10" s="598">
        <v>6.3</v>
      </c>
      <c r="U10" s="599">
        <v>3.2</v>
      </c>
    </row>
    <row r="11" spans="2:21" x14ac:dyDescent="0.25">
      <c r="J11" s="597" t="s">
        <v>1157</v>
      </c>
      <c r="K11" s="600">
        <f>AVERAGE(K7:K9)</f>
        <v>4.7</v>
      </c>
      <c r="L11" s="600">
        <f t="shared" ref="L11:U11" si="0">AVERAGE(L7:L9)</f>
        <v>4.4666666666666659</v>
      </c>
      <c r="M11" s="600">
        <f t="shared" si="0"/>
        <v>4.333333333333333</v>
      </c>
      <c r="N11" s="600">
        <f t="shared" si="0"/>
        <v>4.6333333333333337</v>
      </c>
      <c r="O11" s="600">
        <f t="shared" si="0"/>
        <v>4.666666666666667</v>
      </c>
      <c r="P11" s="600">
        <f t="shared" si="0"/>
        <v>4.5666666666666664</v>
      </c>
      <c r="Q11" s="600">
        <f t="shared" si="0"/>
        <v>4.2</v>
      </c>
      <c r="R11" s="600">
        <f t="shared" si="0"/>
        <v>4.0666666666666673</v>
      </c>
      <c r="S11" s="600">
        <f t="shared" si="0"/>
        <v>4.666666666666667</v>
      </c>
      <c r="T11" s="600">
        <f t="shared" si="0"/>
        <v>5.3666666666666671</v>
      </c>
      <c r="U11" s="600">
        <f t="shared" si="0"/>
        <v>3.2666666666666671</v>
      </c>
    </row>
    <row r="12" spans="2:21" x14ac:dyDescent="0.25">
      <c r="J12" s="593"/>
    </row>
    <row r="13" spans="2:21" x14ac:dyDescent="0.25">
      <c r="J13" s="593"/>
      <c r="T13" s="594" t="s">
        <v>1159</v>
      </c>
      <c r="U13" s="594">
        <v>2598.2420000000002</v>
      </c>
    </row>
    <row r="14" spans="2:21" x14ac:dyDescent="0.25">
      <c r="J14" s="593"/>
      <c r="K14" s="593"/>
      <c r="T14" s="594" t="s">
        <v>1182</v>
      </c>
      <c r="U14" s="594">
        <v>81011</v>
      </c>
    </row>
    <row r="16" spans="2:21" x14ac:dyDescent="0.25">
      <c r="J16" s="593" t="s">
        <v>1173</v>
      </c>
      <c r="K16" s="593" t="s">
        <v>52</v>
      </c>
    </row>
    <row r="17" spans="2:21" x14ac:dyDescent="0.25">
      <c r="J17" s="593" t="s">
        <v>1174</v>
      </c>
      <c r="K17" s="593" t="s">
        <v>1176</v>
      </c>
    </row>
    <row r="18" spans="2:21" x14ac:dyDescent="0.25">
      <c r="J18" s="593" t="s">
        <v>1175</v>
      </c>
      <c r="K18" s="593" t="s">
        <v>1179</v>
      </c>
    </row>
    <row r="19" spans="2:21" x14ac:dyDescent="0.25">
      <c r="B19" s="596"/>
      <c r="C19" s="596"/>
      <c r="D19" s="596"/>
      <c r="E19" s="596"/>
      <c r="F19" s="596"/>
      <c r="G19" s="596"/>
      <c r="H19" s="602"/>
    </row>
    <row r="20" spans="2:21" x14ac:dyDescent="0.25">
      <c r="J20" s="597" t="s">
        <v>1171</v>
      </c>
      <c r="K20" s="597" t="s">
        <v>1144</v>
      </c>
      <c r="L20" s="597" t="s">
        <v>1145</v>
      </c>
      <c r="M20" s="597" t="s">
        <v>1146</v>
      </c>
      <c r="N20" s="597" t="s">
        <v>1147</v>
      </c>
      <c r="O20" s="597" t="s">
        <v>1148</v>
      </c>
      <c r="P20" s="597" t="s">
        <v>1149</v>
      </c>
      <c r="Q20" s="597" t="s">
        <v>1150</v>
      </c>
      <c r="R20" s="597" t="s">
        <v>1151</v>
      </c>
      <c r="S20" s="597" t="s">
        <v>1152</v>
      </c>
      <c r="T20" s="597" t="s">
        <v>1153</v>
      </c>
      <c r="U20" s="597">
        <v>2016</v>
      </c>
    </row>
    <row r="21" spans="2:21" x14ac:dyDescent="0.25">
      <c r="J21" s="597" t="s">
        <v>1154</v>
      </c>
      <c r="K21" s="598">
        <v>46.1</v>
      </c>
      <c r="L21" s="598">
        <v>45.3</v>
      </c>
      <c r="M21" s="598">
        <v>46.6</v>
      </c>
      <c r="N21" s="598">
        <v>50.7</v>
      </c>
      <c r="O21" s="598">
        <v>50.5</v>
      </c>
      <c r="P21" s="598">
        <v>49.1</v>
      </c>
      <c r="Q21" s="598">
        <v>49.7</v>
      </c>
      <c r="R21" s="598">
        <v>49.7</v>
      </c>
      <c r="S21" s="598">
        <v>49.4</v>
      </c>
      <c r="T21" s="598">
        <v>48.5</v>
      </c>
      <c r="U21" s="599">
        <v>47.7</v>
      </c>
    </row>
    <row r="22" spans="2:21" x14ac:dyDescent="0.25">
      <c r="J22" s="597" t="s">
        <v>1172</v>
      </c>
      <c r="K22" s="598">
        <v>40.799999999999997</v>
      </c>
      <c r="L22" s="598">
        <v>40</v>
      </c>
      <c r="M22" s="598">
        <v>40.200000000000003</v>
      </c>
      <c r="N22" s="598">
        <v>43.6</v>
      </c>
      <c r="O22" s="598">
        <v>43</v>
      </c>
      <c r="P22" s="598">
        <v>43</v>
      </c>
      <c r="Q22" s="598">
        <v>44.5</v>
      </c>
      <c r="R22" s="598">
        <v>42.6</v>
      </c>
      <c r="S22" s="598">
        <v>42.2</v>
      </c>
      <c r="T22" s="598">
        <v>42</v>
      </c>
      <c r="U22" s="599">
        <v>39.9</v>
      </c>
    </row>
    <row r="23" spans="2:21" x14ac:dyDescent="0.25">
      <c r="J23" s="597" t="s">
        <v>13</v>
      </c>
      <c r="K23" s="598">
        <v>51.6</v>
      </c>
      <c r="L23" s="598">
        <v>50.1</v>
      </c>
      <c r="M23" s="598">
        <v>48.7</v>
      </c>
      <c r="N23" s="598">
        <v>50.6</v>
      </c>
      <c r="O23" s="598">
        <v>49.5</v>
      </c>
      <c r="P23" s="598">
        <v>49.7</v>
      </c>
      <c r="Q23" s="598">
        <v>48.6</v>
      </c>
      <c r="R23" s="598">
        <v>49.3</v>
      </c>
      <c r="S23" s="598">
        <v>49</v>
      </c>
      <c r="T23" s="598">
        <v>50</v>
      </c>
      <c r="U23" s="599">
        <v>47.5</v>
      </c>
    </row>
    <row r="24" spans="2:21" x14ac:dyDescent="0.25">
      <c r="B24" s="511" t="s">
        <v>1183</v>
      </c>
      <c r="C24" s="595"/>
      <c r="D24" s="595"/>
      <c r="E24" s="595"/>
      <c r="F24" s="596"/>
      <c r="G24" s="596"/>
      <c r="H24" s="602"/>
      <c r="J24" s="597" t="s">
        <v>12</v>
      </c>
      <c r="K24" s="598">
        <v>44.6</v>
      </c>
      <c r="L24" s="598">
        <v>43.1</v>
      </c>
      <c r="M24" s="598">
        <v>44.2</v>
      </c>
      <c r="N24" s="598">
        <v>44.9</v>
      </c>
      <c r="O24" s="598">
        <v>45.7</v>
      </c>
      <c r="P24" s="598">
        <v>43.8</v>
      </c>
      <c r="Q24" s="598">
        <v>42.7</v>
      </c>
      <c r="R24" s="598">
        <v>42.4</v>
      </c>
      <c r="S24" s="598">
        <v>42.1</v>
      </c>
      <c r="T24" s="598">
        <v>41.5</v>
      </c>
      <c r="U24" s="599">
        <v>41.3</v>
      </c>
    </row>
    <row r="25" spans="2:21" x14ac:dyDescent="0.25">
      <c r="J25" s="597" t="s">
        <v>170</v>
      </c>
      <c r="K25" s="598">
        <v>38.799999999999997</v>
      </c>
      <c r="L25" s="598">
        <v>36.299999999999997</v>
      </c>
      <c r="M25" s="598">
        <v>36.9</v>
      </c>
      <c r="N25" s="598">
        <v>44.1</v>
      </c>
      <c r="O25" s="598">
        <v>42.1</v>
      </c>
      <c r="P25" s="598">
        <v>40.799999999999997</v>
      </c>
      <c r="Q25" s="598">
        <v>40.6</v>
      </c>
      <c r="R25" s="598">
        <v>41.4</v>
      </c>
      <c r="S25" s="598">
        <v>42</v>
      </c>
      <c r="T25" s="598">
        <v>45.6</v>
      </c>
      <c r="U25" s="599">
        <v>41.6</v>
      </c>
    </row>
    <row r="26" spans="2:21" x14ac:dyDescent="0.25">
      <c r="J26" s="597" t="s">
        <v>1157</v>
      </c>
      <c r="K26" s="600">
        <f>AVERAGE(K22:K24)</f>
        <v>45.666666666666664</v>
      </c>
      <c r="L26" s="600">
        <f t="shared" ref="L26:T26" si="1">AVERAGE(L22:L24)</f>
        <v>44.4</v>
      </c>
      <c r="M26" s="600">
        <f t="shared" si="1"/>
        <v>44.366666666666674</v>
      </c>
      <c r="N26" s="600">
        <f t="shared" si="1"/>
        <v>46.366666666666667</v>
      </c>
      <c r="O26" s="600">
        <f t="shared" si="1"/>
        <v>46.066666666666663</v>
      </c>
      <c r="P26" s="600">
        <f t="shared" si="1"/>
        <v>45.5</v>
      </c>
      <c r="Q26" s="600">
        <f t="shared" si="1"/>
        <v>45.266666666666673</v>
      </c>
      <c r="R26" s="600">
        <f t="shared" si="1"/>
        <v>44.766666666666673</v>
      </c>
      <c r="S26" s="600">
        <f t="shared" si="1"/>
        <v>44.433333333333337</v>
      </c>
      <c r="T26" s="600">
        <f t="shared" si="1"/>
        <v>44.5</v>
      </c>
      <c r="U26" s="599">
        <v>42.9</v>
      </c>
    </row>
    <row r="28" spans="2:21" x14ac:dyDescent="0.25">
      <c r="T28" s="594" t="s">
        <v>1181</v>
      </c>
      <c r="U28" s="594">
        <v>33706.260999999999</v>
      </c>
    </row>
    <row r="29" spans="2:21" x14ac:dyDescent="0.25">
      <c r="T29" s="594" t="s">
        <v>1182</v>
      </c>
      <c r="U29" s="594">
        <v>81011</v>
      </c>
    </row>
    <row r="30" spans="2:21" x14ac:dyDescent="0.25">
      <c r="J30" s="593" t="s">
        <v>1138</v>
      </c>
      <c r="K30" s="593" t="s">
        <v>1139</v>
      </c>
    </row>
    <row r="31" spans="2:21" x14ac:dyDescent="0.25">
      <c r="J31" s="593" t="s">
        <v>1140</v>
      </c>
      <c r="K31" s="593" t="s">
        <v>1141</v>
      </c>
    </row>
    <row r="32" spans="2:21" x14ac:dyDescent="0.25">
      <c r="J32" s="593" t="s">
        <v>1142</v>
      </c>
      <c r="K32" s="593" t="s">
        <v>1158</v>
      </c>
    </row>
    <row r="34" spans="2:21" x14ac:dyDescent="0.25">
      <c r="J34" s="597" t="s">
        <v>1143</v>
      </c>
      <c r="K34" s="597" t="s">
        <v>1144</v>
      </c>
      <c r="L34" s="597" t="s">
        <v>1145</v>
      </c>
      <c r="M34" s="597" t="s">
        <v>1146</v>
      </c>
      <c r="N34" s="597" t="s">
        <v>1147</v>
      </c>
      <c r="O34" s="597" t="s">
        <v>1148</v>
      </c>
      <c r="P34" s="597" t="s">
        <v>1149</v>
      </c>
      <c r="Q34" s="597" t="s">
        <v>1150</v>
      </c>
      <c r="R34" s="597" t="s">
        <v>1151</v>
      </c>
      <c r="S34" s="597" t="s">
        <v>1152</v>
      </c>
      <c r="T34" s="597" t="s">
        <v>1153</v>
      </c>
      <c r="U34" s="597">
        <v>2016</v>
      </c>
    </row>
    <row r="35" spans="2:21" x14ac:dyDescent="0.25">
      <c r="J35" s="597" t="s">
        <v>1154</v>
      </c>
      <c r="K35" s="598">
        <v>3.2</v>
      </c>
      <c r="L35" s="598">
        <v>3.2</v>
      </c>
      <c r="M35" s="598">
        <v>3.3</v>
      </c>
      <c r="N35" s="598">
        <v>3.6</v>
      </c>
      <c r="O35" s="598">
        <v>3.4</v>
      </c>
      <c r="P35" s="598">
        <v>3.1</v>
      </c>
      <c r="Q35" s="598">
        <v>2.9</v>
      </c>
      <c r="R35" s="598">
        <v>2.8</v>
      </c>
      <c r="S35" s="598">
        <v>2.7</v>
      </c>
      <c r="T35" s="598">
        <v>2.7</v>
      </c>
      <c r="U35" s="599">
        <v>2.6</v>
      </c>
    </row>
    <row r="36" spans="2:21" x14ac:dyDescent="0.25">
      <c r="J36" s="597" t="s">
        <v>1155</v>
      </c>
      <c r="K36" s="598">
        <v>4.9000000000000004</v>
      </c>
      <c r="L36" s="598">
        <v>4.5999999999999996</v>
      </c>
      <c r="M36" s="598">
        <v>5</v>
      </c>
      <c r="N36" s="598">
        <v>5.5</v>
      </c>
      <c r="O36" s="598">
        <v>4.7</v>
      </c>
      <c r="P36" s="598">
        <v>4.5</v>
      </c>
      <c r="Q36" s="598">
        <v>4.2</v>
      </c>
      <c r="R36" s="598">
        <v>3.7</v>
      </c>
      <c r="S36" s="598">
        <v>4.0999999999999996</v>
      </c>
      <c r="T36" s="598">
        <v>5.0999999999999996</v>
      </c>
      <c r="U36" s="599">
        <v>3.4</v>
      </c>
    </row>
    <row r="37" spans="2:21" x14ac:dyDescent="0.25">
      <c r="J37" s="597" t="s">
        <v>358</v>
      </c>
      <c r="K37" s="598">
        <v>5.2</v>
      </c>
      <c r="L37" s="598">
        <v>4.3</v>
      </c>
      <c r="M37" s="598">
        <v>3.2</v>
      </c>
      <c r="N37" s="598">
        <v>3.4</v>
      </c>
      <c r="O37" s="598">
        <v>3.7</v>
      </c>
      <c r="P37" s="598">
        <v>3.4</v>
      </c>
      <c r="Q37" s="598">
        <v>3.7</v>
      </c>
      <c r="R37" s="598">
        <v>4.4000000000000004</v>
      </c>
      <c r="S37" s="598">
        <v>5.4</v>
      </c>
      <c r="T37" s="598">
        <v>6.6</v>
      </c>
      <c r="U37" s="599">
        <v>3.1</v>
      </c>
    </row>
    <row r="38" spans="2:21" x14ac:dyDescent="0.25">
      <c r="J38" s="597" t="s">
        <v>357</v>
      </c>
      <c r="K38" s="598">
        <v>4</v>
      </c>
      <c r="L38" s="598">
        <v>4.5</v>
      </c>
      <c r="M38" s="598">
        <v>4.8</v>
      </c>
      <c r="N38" s="598">
        <v>5</v>
      </c>
      <c r="O38" s="598">
        <v>5.6</v>
      </c>
      <c r="P38" s="598">
        <v>5.8</v>
      </c>
      <c r="Q38" s="598">
        <v>4.7</v>
      </c>
      <c r="R38" s="598">
        <v>4.0999999999999996</v>
      </c>
      <c r="S38" s="598">
        <v>4.5</v>
      </c>
      <c r="T38" s="598">
        <v>4.4000000000000004</v>
      </c>
      <c r="U38" s="599">
        <v>3.3</v>
      </c>
    </row>
    <row r="39" spans="2:21" x14ac:dyDescent="0.25">
      <c r="B39" s="596"/>
      <c r="C39" s="596"/>
      <c r="D39" s="596"/>
      <c r="E39" s="596"/>
      <c r="F39" s="596"/>
      <c r="G39" s="596"/>
      <c r="H39" s="602"/>
      <c r="J39" s="597" t="s">
        <v>1156</v>
      </c>
      <c r="K39" s="598">
        <v>3.8</v>
      </c>
      <c r="L39" s="598">
        <v>3.2</v>
      </c>
      <c r="M39" s="598">
        <v>3.4</v>
      </c>
      <c r="N39" s="598">
        <v>3.9</v>
      </c>
      <c r="O39" s="598">
        <v>3.6</v>
      </c>
      <c r="P39" s="598">
        <v>3.8</v>
      </c>
      <c r="Q39" s="598">
        <v>3.4</v>
      </c>
      <c r="R39" s="598">
        <v>3.3</v>
      </c>
      <c r="S39" s="598">
        <v>4</v>
      </c>
      <c r="T39" s="598">
        <v>6.3</v>
      </c>
      <c r="U39" s="599">
        <v>3.2</v>
      </c>
    </row>
    <row r="40" spans="2:21" x14ac:dyDescent="0.25">
      <c r="J40" s="597" t="s">
        <v>1157</v>
      </c>
      <c r="K40" s="600">
        <f>AVERAGE(K36:K38)</f>
        <v>4.7</v>
      </c>
      <c r="L40" s="600">
        <f t="shared" ref="L40:T40" si="2">AVERAGE(L36:L38)</f>
        <v>4.4666666666666659</v>
      </c>
      <c r="M40" s="600">
        <f t="shared" si="2"/>
        <v>4.333333333333333</v>
      </c>
      <c r="N40" s="600">
        <f t="shared" si="2"/>
        <v>4.6333333333333337</v>
      </c>
      <c r="O40" s="600">
        <f t="shared" si="2"/>
        <v>4.666666666666667</v>
      </c>
      <c r="P40" s="600">
        <f t="shared" si="2"/>
        <v>4.5666666666666664</v>
      </c>
      <c r="Q40" s="600">
        <f t="shared" si="2"/>
        <v>4.2</v>
      </c>
      <c r="R40" s="600">
        <f t="shared" si="2"/>
        <v>4.0666666666666673</v>
      </c>
      <c r="S40" s="600">
        <f t="shared" si="2"/>
        <v>4.666666666666667</v>
      </c>
      <c r="T40" s="600">
        <f t="shared" si="2"/>
        <v>5.3666666666666671</v>
      </c>
      <c r="U40" s="599">
        <v>3.2666666666666671</v>
      </c>
    </row>
    <row r="41" spans="2:21" x14ac:dyDescent="0.25">
      <c r="J41" s="593"/>
    </row>
    <row r="42" spans="2:21" x14ac:dyDescent="0.25">
      <c r="J42" s="593"/>
      <c r="T42" s="594" t="s">
        <v>1159</v>
      </c>
      <c r="U42" s="594">
        <v>2598.2420000000002</v>
      </c>
    </row>
    <row r="43" spans="2:21" x14ac:dyDescent="0.25">
      <c r="J43" s="593"/>
      <c r="K43" s="593"/>
      <c r="T43" s="594" t="s">
        <v>1178</v>
      </c>
      <c r="U43" s="594">
        <v>81011</v>
      </c>
    </row>
    <row r="44" spans="2:21" x14ac:dyDescent="0.25">
      <c r="B44" s="511" t="s">
        <v>1186</v>
      </c>
      <c r="C44" s="595"/>
      <c r="D44" s="595"/>
      <c r="E44" s="595"/>
      <c r="F44" s="596"/>
      <c r="G44" s="596"/>
      <c r="H44" s="602"/>
      <c r="J44" s="593" t="s">
        <v>1138</v>
      </c>
      <c r="K44" s="593" t="s">
        <v>1139</v>
      </c>
    </row>
    <row r="45" spans="2:21" x14ac:dyDescent="0.25">
      <c r="J45" s="593" t="s">
        <v>1140</v>
      </c>
      <c r="K45" s="593" t="s">
        <v>1141</v>
      </c>
    </row>
    <row r="46" spans="2:21" x14ac:dyDescent="0.25">
      <c r="J46" s="593" t="s">
        <v>1142</v>
      </c>
      <c r="K46" s="593" t="s">
        <v>1160</v>
      </c>
    </row>
    <row r="48" spans="2:21" x14ac:dyDescent="0.25">
      <c r="J48" s="597" t="s">
        <v>1143</v>
      </c>
      <c r="K48" s="597" t="s">
        <v>1144</v>
      </c>
      <c r="L48" s="597" t="s">
        <v>1145</v>
      </c>
      <c r="M48" s="597" t="s">
        <v>1146</v>
      </c>
      <c r="N48" s="597" t="s">
        <v>1147</v>
      </c>
      <c r="O48" s="597" t="s">
        <v>1148</v>
      </c>
      <c r="P48" s="597" t="s">
        <v>1149</v>
      </c>
      <c r="Q48" s="597" t="s">
        <v>1150</v>
      </c>
      <c r="R48" s="597" t="s">
        <v>1151</v>
      </c>
      <c r="S48" s="597" t="s">
        <v>1152</v>
      </c>
      <c r="T48" s="597" t="s">
        <v>1153</v>
      </c>
      <c r="U48" s="597">
        <v>2016</v>
      </c>
    </row>
    <row r="49" spans="2:21" x14ac:dyDescent="0.25">
      <c r="J49" s="597" t="s">
        <v>1154</v>
      </c>
      <c r="K49" s="598">
        <v>46.1</v>
      </c>
      <c r="L49" s="598">
        <v>45.3</v>
      </c>
      <c r="M49" s="598">
        <v>46.6</v>
      </c>
      <c r="N49" s="598">
        <v>50.7</v>
      </c>
      <c r="O49" s="598">
        <v>50.5</v>
      </c>
      <c r="P49" s="598">
        <v>49.1</v>
      </c>
      <c r="Q49" s="598">
        <v>49.7</v>
      </c>
      <c r="R49" s="598">
        <v>49.7</v>
      </c>
      <c r="S49" s="598">
        <v>49.4</v>
      </c>
      <c r="T49" s="598">
        <v>48.5</v>
      </c>
      <c r="U49" s="601">
        <v>47.7</v>
      </c>
    </row>
    <row r="50" spans="2:21" x14ac:dyDescent="0.25">
      <c r="J50" s="597" t="s">
        <v>1155</v>
      </c>
      <c r="K50" s="598">
        <v>40.799999999999997</v>
      </c>
      <c r="L50" s="598">
        <v>40</v>
      </c>
      <c r="M50" s="598">
        <v>40.200000000000003</v>
      </c>
      <c r="N50" s="598">
        <v>43.6</v>
      </c>
      <c r="O50" s="598">
        <v>43</v>
      </c>
      <c r="P50" s="598">
        <v>43</v>
      </c>
      <c r="Q50" s="598">
        <v>44.5</v>
      </c>
      <c r="R50" s="598">
        <v>42.6</v>
      </c>
      <c r="S50" s="598">
        <v>42.2</v>
      </c>
      <c r="T50" s="598">
        <v>42</v>
      </c>
      <c r="U50" s="601">
        <v>39.9</v>
      </c>
    </row>
    <row r="51" spans="2:21" x14ac:dyDescent="0.25">
      <c r="J51" s="597" t="s">
        <v>358</v>
      </c>
      <c r="K51" s="598">
        <v>51.6</v>
      </c>
      <c r="L51" s="598">
        <v>50.1</v>
      </c>
      <c r="M51" s="598">
        <v>48.7</v>
      </c>
      <c r="N51" s="598">
        <v>50.6</v>
      </c>
      <c r="O51" s="598">
        <v>49.5</v>
      </c>
      <c r="P51" s="598">
        <v>49.7</v>
      </c>
      <c r="Q51" s="598">
        <v>48.6</v>
      </c>
      <c r="R51" s="598">
        <v>49.3</v>
      </c>
      <c r="S51" s="598">
        <v>49</v>
      </c>
      <c r="T51" s="598">
        <v>50</v>
      </c>
      <c r="U51" s="601">
        <v>47.5</v>
      </c>
    </row>
    <row r="52" spans="2:21" x14ac:dyDescent="0.25">
      <c r="J52" s="597" t="s">
        <v>357</v>
      </c>
      <c r="K52" s="598">
        <v>44.6</v>
      </c>
      <c r="L52" s="598">
        <v>43.1</v>
      </c>
      <c r="M52" s="598">
        <v>44.2</v>
      </c>
      <c r="N52" s="598">
        <v>44.9</v>
      </c>
      <c r="O52" s="598">
        <v>45.7</v>
      </c>
      <c r="P52" s="598">
        <v>43.8</v>
      </c>
      <c r="Q52" s="598">
        <v>42.7</v>
      </c>
      <c r="R52" s="598">
        <v>42.4</v>
      </c>
      <c r="S52" s="598">
        <v>42.1</v>
      </c>
      <c r="T52" s="598">
        <v>41.5</v>
      </c>
      <c r="U52" s="601">
        <v>41.3</v>
      </c>
    </row>
    <row r="53" spans="2:21" x14ac:dyDescent="0.25">
      <c r="J53" s="597" t="s">
        <v>1156</v>
      </c>
      <c r="K53" s="598">
        <v>38.799999999999997</v>
      </c>
      <c r="L53" s="598">
        <v>36.299999999999997</v>
      </c>
      <c r="M53" s="598">
        <v>36.9</v>
      </c>
      <c r="N53" s="598">
        <v>44.1</v>
      </c>
      <c r="O53" s="598">
        <v>42.1</v>
      </c>
      <c r="P53" s="598">
        <v>40.799999999999997</v>
      </c>
      <c r="Q53" s="598">
        <v>40.6</v>
      </c>
      <c r="R53" s="598">
        <v>41.4</v>
      </c>
      <c r="S53" s="598">
        <v>42</v>
      </c>
      <c r="T53" s="598">
        <v>45.6</v>
      </c>
      <c r="U53" s="599">
        <v>41.6</v>
      </c>
    </row>
    <row r="54" spans="2:21" x14ac:dyDescent="0.25">
      <c r="J54" s="597" t="s">
        <v>1157</v>
      </c>
      <c r="K54" s="600">
        <f>AVERAGE(K50:K52)</f>
        <v>45.666666666666664</v>
      </c>
      <c r="L54" s="600">
        <f t="shared" ref="L54:T54" si="3">AVERAGE(L50:L52)</f>
        <v>44.4</v>
      </c>
      <c r="M54" s="600">
        <f t="shared" si="3"/>
        <v>44.366666666666674</v>
      </c>
      <c r="N54" s="600">
        <f t="shared" si="3"/>
        <v>46.366666666666667</v>
      </c>
      <c r="O54" s="600">
        <f t="shared" si="3"/>
        <v>46.066666666666663</v>
      </c>
      <c r="P54" s="600">
        <f t="shared" si="3"/>
        <v>45.5</v>
      </c>
      <c r="Q54" s="600">
        <f t="shared" si="3"/>
        <v>45.266666666666673</v>
      </c>
      <c r="R54" s="600">
        <f t="shared" si="3"/>
        <v>44.766666666666673</v>
      </c>
      <c r="S54" s="600">
        <f t="shared" si="3"/>
        <v>44.433333333333337</v>
      </c>
      <c r="T54" s="600">
        <f t="shared" si="3"/>
        <v>44.5</v>
      </c>
      <c r="U54" s="601">
        <v>42.9</v>
      </c>
    </row>
    <row r="56" spans="2:21" x14ac:dyDescent="0.25">
      <c r="T56" s="594" t="s">
        <v>944</v>
      </c>
      <c r="U56" s="594">
        <v>33706.260999999999</v>
      </c>
    </row>
    <row r="57" spans="2:21" x14ac:dyDescent="0.25">
      <c r="T57" s="594" t="s">
        <v>1178</v>
      </c>
      <c r="U57" s="594">
        <v>81011</v>
      </c>
    </row>
    <row r="59" spans="2:21" x14ac:dyDescent="0.25">
      <c r="B59" s="596"/>
      <c r="C59" s="596"/>
      <c r="D59" s="596"/>
      <c r="E59" s="596"/>
      <c r="F59" s="596"/>
      <c r="G59" s="596"/>
      <c r="H59" s="602"/>
    </row>
    <row r="64" spans="2:21" x14ac:dyDescent="0.25">
      <c r="B64" s="511" t="s">
        <v>1185</v>
      </c>
      <c r="C64" s="595"/>
      <c r="D64" s="595"/>
      <c r="E64" s="595"/>
      <c r="F64" s="596"/>
      <c r="G64" s="596"/>
      <c r="H64" s="602"/>
    </row>
    <row r="79" spans="2:8" x14ac:dyDescent="0.25">
      <c r="B79" s="596"/>
      <c r="C79" s="596"/>
      <c r="D79" s="596"/>
      <c r="E79" s="596"/>
      <c r="F79" s="596"/>
      <c r="G79" s="596"/>
      <c r="H79" s="602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3"/>
  <dimension ref="B1:AA30"/>
  <sheetViews>
    <sheetView topLeftCell="B1" zoomScale="85" zoomScaleNormal="85" workbookViewId="0">
      <selection activeCell="D8" sqref="D8"/>
    </sheetView>
  </sheetViews>
  <sheetFormatPr defaultRowHeight="13.5" x14ac:dyDescent="0.25"/>
  <cols>
    <col min="1" max="1" width="22.42578125" style="493" customWidth="1"/>
    <col min="2" max="2" width="29.42578125" style="493" customWidth="1"/>
    <col min="3" max="11" width="9.7109375" style="493" customWidth="1"/>
    <col min="12" max="12" width="9" style="493" customWidth="1"/>
    <col min="13" max="13" width="9.140625" style="493"/>
    <col min="14" max="14" width="14.28515625" style="493" bestFit="1" customWidth="1"/>
    <col min="15" max="15" width="14.140625" style="493" bestFit="1" customWidth="1"/>
    <col min="16" max="16" width="11.42578125" style="493" bestFit="1" customWidth="1"/>
    <col min="17" max="17" width="9.140625" style="493"/>
    <col min="18" max="18" width="24.5703125" style="493" customWidth="1"/>
    <col min="19" max="19" width="8" style="493" customWidth="1"/>
    <col min="20" max="20" width="8.140625" style="493" hidden="1" customWidth="1"/>
    <col min="21" max="22" width="7.7109375" style="493" hidden="1" customWidth="1"/>
    <col min="23" max="23" width="6.7109375" style="493" hidden="1" customWidth="1"/>
    <col min="24" max="25" width="8" style="493" hidden="1" customWidth="1"/>
    <col min="26" max="27" width="0" style="493" hidden="1" customWidth="1"/>
    <col min="28" max="16384" width="9.140625" style="493"/>
  </cols>
  <sheetData>
    <row r="1" spans="2:27" ht="27.75" thickBot="1" x14ac:dyDescent="0.3">
      <c r="B1" s="1000" t="s">
        <v>1586</v>
      </c>
      <c r="C1" s="1000"/>
      <c r="D1" s="1000"/>
      <c r="E1" s="1000"/>
      <c r="F1" s="1000"/>
      <c r="G1" s="1000"/>
      <c r="H1" s="1000"/>
      <c r="I1" s="1000"/>
      <c r="J1" s="1000"/>
      <c r="K1" s="1000"/>
      <c r="T1" s="578" t="s">
        <v>1104</v>
      </c>
      <c r="U1" s="579" t="s">
        <v>1105</v>
      </c>
      <c r="V1" s="580" t="s">
        <v>1106</v>
      </c>
      <c r="W1" s="580"/>
      <c r="X1" s="581" t="s">
        <v>1107</v>
      </c>
      <c r="Y1" s="581"/>
      <c r="Z1" s="580" t="s">
        <v>1108</v>
      </c>
      <c r="AA1" s="580"/>
    </row>
    <row r="2" spans="2:27" ht="15.75" customHeight="1" thickBot="1" x14ac:dyDescent="0.3">
      <c r="B2" s="578" t="s">
        <v>1104</v>
      </c>
      <c r="C2" s="579" t="s">
        <v>1105</v>
      </c>
      <c r="D2" s="1001" t="s">
        <v>1107</v>
      </c>
      <c r="E2" s="1001"/>
      <c r="F2" s="1002" t="s">
        <v>1161</v>
      </c>
      <c r="G2" s="1002"/>
      <c r="H2" s="1002" t="s">
        <v>1108</v>
      </c>
      <c r="I2" s="1002"/>
      <c r="J2" s="1002" t="s">
        <v>1109</v>
      </c>
      <c r="K2" s="1002"/>
      <c r="T2" s="500"/>
      <c r="U2" s="582"/>
      <c r="V2" s="500" t="s">
        <v>52</v>
      </c>
      <c r="W2" s="500" t="s">
        <v>1110</v>
      </c>
      <c r="X2" s="500" t="s">
        <v>52</v>
      </c>
      <c r="Y2" s="500" t="s">
        <v>1110</v>
      </c>
      <c r="Z2" s="500" t="s">
        <v>52</v>
      </c>
      <c r="AA2" s="500" t="s">
        <v>1110</v>
      </c>
    </row>
    <row r="3" spans="2:27" ht="14.25" thickBot="1" x14ac:dyDescent="0.3">
      <c r="B3" s="500"/>
      <c r="C3" s="582"/>
      <c r="D3" s="500" t="s">
        <v>52</v>
      </c>
      <c r="E3" s="500" t="s">
        <v>1110</v>
      </c>
      <c r="F3" s="500" t="s">
        <v>52</v>
      </c>
      <c r="G3" s="500" t="s">
        <v>1110</v>
      </c>
      <c r="H3" s="500" t="s">
        <v>52</v>
      </c>
      <c r="I3" s="500" t="s">
        <v>1110</v>
      </c>
      <c r="J3" s="500" t="s">
        <v>52</v>
      </c>
      <c r="K3" s="500" t="s">
        <v>1110</v>
      </c>
      <c r="T3" s="515" t="s">
        <v>1111</v>
      </c>
      <c r="U3" s="583">
        <v>1</v>
      </c>
      <c r="V3" s="497">
        <v>5.5310612764211582</v>
      </c>
      <c r="W3" s="497">
        <v>13.466304057009564</v>
      </c>
      <c r="X3" s="584">
        <v>5.5310612764211582</v>
      </c>
      <c r="Y3" s="584">
        <v>13.466304057009564</v>
      </c>
      <c r="Z3" s="494">
        <v>6.0333333333333341</v>
      </c>
      <c r="AA3" s="494">
        <v>13.300000000000002</v>
      </c>
    </row>
    <row r="4" spans="2:27" x14ac:dyDescent="0.25">
      <c r="B4" s="515" t="s">
        <v>1111</v>
      </c>
      <c r="C4" s="583">
        <v>1</v>
      </c>
      <c r="D4" s="497">
        <v>5.4370416658490806</v>
      </c>
      <c r="E4" s="497">
        <v>13.285047468068742</v>
      </c>
      <c r="F4" s="585">
        <v>4.995687793085696</v>
      </c>
      <c r="G4" s="497">
        <v>12.743302909772748</v>
      </c>
      <c r="H4" s="494">
        <v>6.0333333333333341</v>
      </c>
      <c r="I4" s="494">
        <v>13.300000000000002</v>
      </c>
      <c r="J4" s="495">
        <v>6.2</v>
      </c>
      <c r="K4" s="495">
        <v>13.1</v>
      </c>
      <c r="T4" s="515" t="s">
        <v>1112</v>
      </c>
      <c r="U4" s="583">
        <v>2</v>
      </c>
      <c r="V4" s="497">
        <v>1.1285800253642155</v>
      </c>
      <c r="W4" s="497">
        <v>2.7477189303633507</v>
      </c>
      <c r="X4" s="584">
        <v>1.1285800253642155</v>
      </c>
      <c r="Y4" s="584">
        <v>2.7477189303633507</v>
      </c>
      <c r="Z4" s="497">
        <v>1</v>
      </c>
      <c r="AA4" s="497">
        <v>2.3666666666666667</v>
      </c>
    </row>
    <row r="5" spans="2:27" x14ac:dyDescent="0.25">
      <c r="B5" s="515" t="s">
        <v>1112</v>
      </c>
      <c r="C5" s="583">
        <v>2</v>
      </c>
      <c r="D5" s="497">
        <v>1.1208406838333553</v>
      </c>
      <c r="E5" s="497">
        <v>2.7386992051942234</v>
      </c>
      <c r="F5" s="585">
        <v>1.158533200523777</v>
      </c>
      <c r="G5" s="497">
        <v>2.9552566366810438</v>
      </c>
      <c r="H5" s="497">
        <v>1</v>
      </c>
      <c r="I5" s="497">
        <v>2.3666666666666667</v>
      </c>
      <c r="J5" s="498">
        <v>1.4</v>
      </c>
      <c r="K5" s="498">
        <v>2.9</v>
      </c>
      <c r="T5" s="515" t="s">
        <v>1113</v>
      </c>
      <c r="U5" s="583">
        <v>3</v>
      </c>
      <c r="V5" s="497">
        <v>2.2017388909129649</v>
      </c>
      <c r="W5" s="497">
        <v>5.3605056746652791</v>
      </c>
      <c r="X5" s="584">
        <v>2.2017388909129649</v>
      </c>
      <c r="Y5" s="584">
        <v>5.3605056746652791</v>
      </c>
      <c r="Z5" s="497">
        <v>2.0333333333333332</v>
      </c>
      <c r="AA5" s="497">
        <v>4.5999999999999996</v>
      </c>
    </row>
    <row r="6" spans="2:27" x14ac:dyDescent="0.25">
      <c r="B6" s="515" t="s">
        <v>1113</v>
      </c>
      <c r="C6" s="583">
        <v>3</v>
      </c>
      <c r="D6" s="497">
        <v>2.1560917502634696</v>
      </c>
      <c r="E6" s="497">
        <v>5.2682659078516414</v>
      </c>
      <c r="F6" s="585">
        <v>2.1036563664648407</v>
      </c>
      <c r="G6" s="497">
        <v>5.366134035244646</v>
      </c>
      <c r="H6" s="497">
        <v>2.0333333333333332</v>
      </c>
      <c r="I6" s="497">
        <v>4.5999999999999996</v>
      </c>
      <c r="J6" s="498">
        <v>1.8</v>
      </c>
      <c r="K6" s="498">
        <v>3.7</v>
      </c>
      <c r="T6" s="515" t="s">
        <v>1114</v>
      </c>
      <c r="U6" s="583">
        <v>4</v>
      </c>
      <c r="V6" s="497">
        <v>4.879307532136572</v>
      </c>
      <c r="W6" s="497">
        <v>11.879499345905439</v>
      </c>
      <c r="X6" s="584">
        <v>4.879307532136572</v>
      </c>
      <c r="Y6" s="584">
        <v>11.879499345905439</v>
      </c>
      <c r="Z6" s="497">
        <v>6.5999999999999988</v>
      </c>
      <c r="AA6" s="497">
        <v>14.666666666666666</v>
      </c>
    </row>
    <row r="7" spans="2:27" x14ac:dyDescent="0.25">
      <c r="B7" s="515" t="s">
        <v>1114</v>
      </c>
      <c r="C7" s="583">
        <v>4</v>
      </c>
      <c r="D7" s="497">
        <v>4.7476877159112547</v>
      </c>
      <c r="E7" s="497">
        <v>11.600657222404784</v>
      </c>
      <c r="F7" s="585">
        <v>3.8616545981578274</v>
      </c>
      <c r="G7" s="497">
        <v>9.8505423708326187</v>
      </c>
      <c r="H7" s="497">
        <v>6.5999999999999988</v>
      </c>
      <c r="I7" s="497">
        <v>14.666666666666666</v>
      </c>
      <c r="J7" s="498">
        <v>4.3</v>
      </c>
      <c r="K7" s="498">
        <v>9</v>
      </c>
      <c r="T7" s="515" t="s">
        <v>1115</v>
      </c>
      <c r="U7" s="583">
        <v>5</v>
      </c>
      <c r="V7" s="497">
        <v>0.44517898792499772</v>
      </c>
      <c r="W7" s="497">
        <v>1.0838635320758523</v>
      </c>
      <c r="X7" s="584">
        <v>0.44517898792499772</v>
      </c>
      <c r="Y7" s="584">
        <v>1.0838635320758523</v>
      </c>
      <c r="Z7" s="497">
        <v>0.96666666666666679</v>
      </c>
      <c r="AA7" s="497">
        <v>2.1999999999999997</v>
      </c>
    </row>
    <row r="8" spans="2:27" x14ac:dyDescent="0.25">
      <c r="B8" s="515" t="s">
        <v>1115</v>
      </c>
      <c r="C8" s="583">
        <v>5</v>
      </c>
      <c r="D8" s="497">
        <v>0.44944244059658778</v>
      </c>
      <c r="E8" s="497">
        <v>1.0981825272729242</v>
      </c>
      <c r="F8" s="585">
        <v>0.45610569551543911</v>
      </c>
      <c r="G8" s="497">
        <v>1.1634620251630512</v>
      </c>
      <c r="H8" s="497">
        <v>0.96666666666666679</v>
      </c>
      <c r="I8" s="497">
        <v>2.1999999999999997</v>
      </c>
      <c r="J8" s="498">
        <v>0.8</v>
      </c>
      <c r="K8" s="498">
        <v>1.7</v>
      </c>
      <c r="T8" s="515" t="s">
        <v>1116</v>
      </c>
      <c r="U8" s="583">
        <v>6</v>
      </c>
      <c r="V8" s="497">
        <v>0.46780630843226839</v>
      </c>
      <c r="W8" s="497">
        <v>1.1389535704461147</v>
      </c>
      <c r="X8" s="584">
        <v>0.46780630843226839</v>
      </c>
      <c r="Y8" s="584">
        <v>1.1389535704461147</v>
      </c>
      <c r="Z8" s="497">
        <v>0.83333333333333337</v>
      </c>
      <c r="AA8" s="497">
        <v>1.8333333333333333</v>
      </c>
    </row>
    <row r="9" spans="2:27" x14ac:dyDescent="0.25">
      <c r="B9" s="515" t="s">
        <v>1116</v>
      </c>
      <c r="C9" s="583">
        <v>6</v>
      </c>
      <c r="D9" s="497">
        <v>0.4666249180764378</v>
      </c>
      <c r="E9" s="497">
        <v>1.1401667611574338</v>
      </c>
      <c r="F9" s="585">
        <v>0.50920526910722885</v>
      </c>
      <c r="G9" s="497">
        <v>1.2989116326418222</v>
      </c>
      <c r="H9" s="497">
        <v>0.83333333333333337</v>
      </c>
      <c r="I9" s="497">
        <v>1.8333333333333333</v>
      </c>
      <c r="J9" s="498">
        <v>0.6</v>
      </c>
      <c r="K9" s="498">
        <v>1.2</v>
      </c>
      <c r="T9" s="515" t="s">
        <v>1117</v>
      </c>
      <c r="U9" s="583">
        <v>7</v>
      </c>
      <c r="V9" s="497">
        <v>1.9341995490982429</v>
      </c>
      <c r="W9" s="497">
        <v>4.7091359023852633</v>
      </c>
      <c r="X9" s="584">
        <v>1.9341995490982429</v>
      </c>
      <c r="Y9" s="584">
        <v>4.7091359023852633</v>
      </c>
      <c r="Z9" s="497">
        <v>5.8666666666666671</v>
      </c>
      <c r="AA9" s="497">
        <v>13.333333333333334</v>
      </c>
    </row>
    <row r="10" spans="2:27" x14ac:dyDescent="0.25">
      <c r="B10" s="515" t="s">
        <v>1117</v>
      </c>
      <c r="C10" s="583">
        <v>7</v>
      </c>
      <c r="D10" s="497">
        <v>7.3912129993784843</v>
      </c>
      <c r="E10" s="497">
        <v>18.059934349981766</v>
      </c>
      <c r="F10" s="585">
        <v>7.3335329207283637</v>
      </c>
      <c r="G10" s="497">
        <v>18.706819817078365</v>
      </c>
      <c r="H10" s="497">
        <v>5.8666666666666671</v>
      </c>
      <c r="I10" s="497">
        <v>13.333333333333334</v>
      </c>
      <c r="J10" s="498">
        <v>7.2</v>
      </c>
      <c r="K10" s="498">
        <v>15.2</v>
      </c>
      <c r="T10" s="515" t="s">
        <v>1118</v>
      </c>
      <c r="U10" s="583">
        <v>8</v>
      </c>
      <c r="V10" s="497">
        <v>0.99198744591053856</v>
      </c>
      <c r="W10" s="497">
        <v>2.4151611959741515</v>
      </c>
      <c r="X10" s="584">
        <v>0.99198744591053856</v>
      </c>
      <c r="Y10" s="584">
        <v>2.4151611959741515</v>
      </c>
      <c r="Z10" s="497">
        <v>1.5</v>
      </c>
      <c r="AA10" s="497">
        <v>3.4</v>
      </c>
    </row>
    <row r="11" spans="2:27" x14ac:dyDescent="0.25">
      <c r="B11" s="515" t="s">
        <v>1118</v>
      </c>
      <c r="C11" s="583">
        <v>8</v>
      </c>
      <c r="D11" s="497">
        <v>0.99316327771975121</v>
      </c>
      <c r="E11" s="497">
        <v>2.4267280074244462</v>
      </c>
      <c r="F11" s="585">
        <v>1.0006267417264496</v>
      </c>
      <c r="G11" s="497">
        <v>2.5524592803993009</v>
      </c>
      <c r="H11" s="497">
        <v>1.5</v>
      </c>
      <c r="I11" s="497">
        <v>3.4</v>
      </c>
      <c r="J11" s="498">
        <v>1</v>
      </c>
      <c r="K11" s="498">
        <v>2.2000000000000002</v>
      </c>
      <c r="T11" s="515" t="s">
        <v>1119</v>
      </c>
      <c r="U11" s="583">
        <v>9</v>
      </c>
      <c r="V11" s="497">
        <v>4.0166488255105524</v>
      </c>
      <c r="W11" s="497">
        <v>9.7792108370120427</v>
      </c>
      <c r="X11" s="584">
        <v>4.0166488255105524</v>
      </c>
      <c r="Y11" s="584">
        <v>9.7792108370120427</v>
      </c>
      <c r="Z11" s="497">
        <v>5.1000000000000005</v>
      </c>
      <c r="AA11" s="497">
        <v>11.566666666666668</v>
      </c>
    </row>
    <row r="12" spans="2:27" ht="14.25" thickBot="1" x14ac:dyDescent="0.3">
      <c r="B12" s="515" t="s">
        <v>1119</v>
      </c>
      <c r="C12" s="583">
        <v>9</v>
      </c>
      <c r="D12" s="497">
        <v>3.995770772900852</v>
      </c>
      <c r="E12" s="497">
        <v>9.7633984898329143</v>
      </c>
      <c r="F12" s="585">
        <v>4.1511958455976998</v>
      </c>
      <c r="G12" s="497">
        <v>10.589121716424733</v>
      </c>
      <c r="H12" s="497">
        <v>5.1000000000000005</v>
      </c>
      <c r="I12" s="497">
        <v>11.566666666666668</v>
      </c>
      <c r="J12" s="498">
        <v>4.9000000000000004</v>
      </c>
      <c r="K12" s="498">
        <v>10.3</v>
      </c>
      <c r="T12" s="586" t="s">
        <v>1120</v>
      </c>
      <c r="U12" s="582">
        <v>10</v>
      </c>
      <c r="V12" s="499">
        <v>19.476834319154484</v>
      </c>
      <c r="W12" s="499">
        <v>47.419646954162943</v>
      </c>
      <c r="X12" s="587">
        <v>19.476834319154484</v>
      </c>
      <c r="Y12" s="587">
        <v>47.419646954162943</v>
      </c>
      <c r="Z12" s="499">
        <v>14.533333333333333</v>
      </c>
      <c r="AA12" s="499">
        <v>32.766666666666673</v>
      </c>
    </row>
    <row r="13" spans="2:27" ht="14.25" thickBot="1" x14ac:dyDescent="0.3">
      <c r="B13" s="586" t="s">
        <v>1120</v>
      </c>
      <c r="C13" s="582">
        <v>10</v>
      </c>
      <c r="D13" s="499">
        <v>14.168147404044696</v>
      </c>
      <c r="E13" s="499">
        <v>34.618920060811128</v>
      </c>
      <c r="F13" s="499">
        <v>13.632258172824031</v>
      </c>
      <c r="G13" s="499">
        <v>34.773989575761661</v>
      </c>
      <c r="H13" s="499">
        <v>14.533333333333333</v>
      </c>
      <c r="I13" s="499">
        <v>32.766666666666673</v>
      </c>
      <c r="J13" s="500">
        <v>19.2</v>
      </c>
      <c r="K13" s="500">
        <v>40.6</v>
      </c>
      <c r="T13" s="578" t="s">
        <v>1121</v>
      </c>
      <c r="U13" s="579" t="s">
        <v>944</v>
      </c>
      <c r="V13" s="588">
        <v>41.073343160866003</v>
      </c>
      <c r="W13" s="588">
        <v>100</v>
      </c>
      <c r="X13" s="589">
        <v>41.073343160866003</v>
      </c>
      <c r="Y13" s="588">
        <v>100</v>
      </c>
      <c r="Z13" s="501">
        <v>44.5</v>
      </c>
      <c r="AA13" s="501">
        <v>100</v>
      </c>
    </row>
    <row r="14" spans="2:27" ht="14.25" thickBot="1" x14ac:dyDescent="0.3">
      <c r="B14" s="578" t="s">
        <v>1121</v>
      </c>
      <c r="C14" s="579" t="s">
        <v>944</v>
      </c>
      <c r="D14" s="588">
        <v>40.926023628573965</v>
      </c>
      <c r="E14" s="588">
        <v>100</v>
      </c>
      <c r="F14" s="588">
        <v>39.202456603731356</v>
      </c>
      <c r="G14" s="588">
        <v>100</v>
      </c>
      <c r="H14" s="501">
        <v>44.5</v>
      </c>
      <c r="I14" s="501">
        <v>100</v>
      </c>
      <c r="J14" s="501">
        <v>47.2</v>
      </c>
      <c r="K14" s="501">
        <v>100</v>
      </c>
      <c r="R14" s="502"/>
    </row>
    <row r="15" spans="2:27" ht="38.25" customHeight="1" x14ac:dyDescent="0.25">
      <c r="B15" s="1003" t="s">
        <v>1122</v>
      </c>
      <c r="C15" s="1003"/>
      <c r="D15" s="1003"/>
      <c r="E15" s="1003"/>
      <c r="F15" s="1003"/>
      <c r="G15" s="1003"/>
      <c r="H15" s="1003"/>
      <c r="I15" s="1003"/>
      <c r="J15" s="1004" t="s">
        <v>1123</v>
      </c>
      <c r="K15" s="1004"/>
    </row>
    <row r="17" spans="2:11" ht="14.25" thickBot="1" x14ac:dyDescent="0.3">
      <c r="B17" s="1000" t="s">
        <v>1587</v>
      </c>
      <c r="C17" s="1000"/>
      <c r="D17" s="1000"/>
      <c r="E17" s="1000"/>
      <c r="F17" s="1000"/>
      <c r="G17" s="1000"/>
      <c r="H17" s="1000"/>
      <c r="I17" s="1000"/>
      <c r="J17" s="1000"/>
      <c r="K17" s="1000"/>
    </row>
    <row r="18" spans="2:11" ht="14.25" customHeight="1" thickBot="1" x14ac:dyDescent="0.3">
      <c r="B18" s="578" t="s">
        <v>1166</v>
      </c>
      <c r="C18" s="579" t="s">
        <v>1167</v>
      </c>
      <c r="D18" s="1001" t="s">
        <v>1168</v>
      </c>
      <c r="E18" s="1001"/>
      <c r="F18" s="1002" t="str">
        <f>F2</f>
        <v>SK 2018 (FR)</v>
      </c>
      <c r="G18" s="1002"/>
      <c r="H18" s="1002" t="str">
        <f t="shared" ref="H18" si="0">H2</f>
        <v>V3 2015</v>
      </c>
      <c r="I18" s="1002"/>
      <c r="J18" s="1002" t="str">
        <f t="shared" ref="J18" si="1">J2</f>
        <v>EU28 2015</v>
      </c>
      <c r="K18" s="1002"/>
    </row>
    <row r="19" spans="2:11" ht="14.25" thickBot="1" x14ac:dyDescent="0.3">
      <c r="B19" s="500"/>
      <c r="C19" s="582"/>
      <c r="D19" s="500" t="s">
        <v>1169</v>
      </c>
      <c r="E19" s="500" t="s">
        <v>1170</v>
      </c>
      <c r="F19" s="500" t="s">
        <v>1169</v>
      </c>
      <c r="G19" s="500" t="s">
        <v>1170</v>
      </c>
      <c r="H19" s="500" t="s">
        <v>1169</v>
      </c>
      <c r="I19" s="500" t="s">
        <v>1170</v>
      </c>
      <c r="J19" s="500" t="s">
        <v>1169</v>
      </c>
      <c r="K19" s="500" t="s">
        <v>1170</v>
      </c>
    </row>
    <row r="20" spans="2:11" x14ac:dyDescent="0.25">
      <c r="B20" s="515" t="s">
        <v>1093</v>
      </c>
      <c r="C20" s="583">
        <v>1</v>
      </c>
      <c r="D20" s="497">
        <v>5.4370416658490806</v>
      </c>
      <c r="E20" s="497">
        <v>13.285047468068742</v>
      </c>
      <c r="F20" s="585">
        <v>4.995687793085696</v>
      </c>
      <c r="G20" s="497">
        <v>12.743302909772748</v>
      </c>
      <c r="H20" s="494">
        <f>H4</f>
        <v>6.0333333333333341</v>
      </c>
      <c r="I20" s="494">
        <f t="shared" ref="I20:K20" si="2">I4</f>
        <v>13.300000000000002</v>
      </c>
      <c r="J20" s="495">
        <f t="shared" si="2"/>
        <v>6.2</v>
      </c>
      <c r="K20" s="495">
        <f t="shared" si="2"/>
        <v>13.1</v>
      </c>
    </row>
    <row r="21" spans="2:11" x14ac:dyDescent="0.25">
      <c r="B21" s="515" t="s">
        <v>1094</v>
      </c>
      <c r="C21" s="583">
        <v>2</v>
      </c>
      <c r="D21" s="497">
        <v>1.1208406838333553</v>
      </c>
      <c r="E21" s="497">
        <v>2.7386992051942234</v>
      </c>
      <c r="F21" s="585">
        <v>1.158533200523777</v>
      </c>
      <c r="G21" s="497">
        <v>2.9552566366810438</v>
      </c>
      <c r="H21" s="497">
        <f t="shared" ref="H21:K21" si="3">H5</f>
        <v>1</v>
      </c>
      <c r="I21" s="497">
        <f t="shared" si="3"/>
        <v>2.3666666666666667</v>
      </c>
      <c r="J21" s="498">
        <f t="shared" si="3"/>
        <v>1.4</v>
      </c>
      <c r="K21" s="498">
        <f t="shared" si="3"/>
        <v>2.9</v>
      </c>
    </row>
    <row r="22" spans="2:11" x14ac:dyDescent="0.25">
      <c r="B22" s="515" t="s">
        <v>1095</v>
      </c>
      <c r="C22" s="583">
        <v>3</v>
      </c>
      <c r="D22" s="497">
        <v>2.1560917502634696</v>
      </c>
      <c r="E22" s="497">
        <v>5.2682659078516414</v>
      </c>
      <c r="F22" s="585">
        <v>2.1036563664648407</v>
      </c>
      <c r="G22" s="497">
        <v>5.366134035244646</v>
      </c>
      <c r="H22" s="497">
        <f t="shared" ref="H22:K22" si="4">H6</f>
        <v>2.0333333333333332</v>
      </c>
      <c r="I22" s="497">
        <f t="shared" si="4"/>
        <v>4.5999999999999996</v>
      </c>
      <c r="J22" s="498">
        <f t="shared" si="4"/>
        <v>1.8</v>
      </c>
      <c r="K22" s="498">
        <f t="shared" si="4"/>
        <v>3.7</v>
      </c>
    </row>
    <row r="23" spans="2:11" x14ac:dyDescent="0.25">
      <c r="B23" s="515" t="s">
        <v>1096</v>
      </c>
      <c r="C23" s="583">
        <v>4</v>
      </c>
      <c r="D23" s="497">
        <v>4.7476877159112547</v>
      </c>
      <c r="E23" s="497">
        <v>11.600657222404784</v>
      </c>
      <c r="F23" s="585">
        <v>3.8616545981578274</v>
      </c>
      <c r="G23" s="497">
        <v>9.8505423708326187</v>
      </c>
      <c r="H23" s="497">
        <f t="shared" ref="H23:K23" si="5">H7</f>
        <v>6.5999999999999988</v>
      </c>
      <c r="I23" s="497">
        <f t="shared" si="5"/>
        <v>14.666666666666666</v>
      </c>
      <c r="J23" s="498">
        <f t="shared" si="5"/>
        <v>4.3</v>
      </c>
      <c r="K23" s="498">
        <f t="shared" si="5"/>
        <v>9</v>
      </c>
    </row>
    <row r="24" spans="2:11" x14ac:dyDescent="0.25">
      <c r="B24" s="515" t="s">
        <v>1097</v>
      </c>
      <c r="C24" s="583">
        <v>5</v>
      </c>
      <c r="D24" s="497">
        <v>0.44944244059658778</v>
      </c>
      <c r="E24" s="497">
        <v>1.0981825272729242</v>
      </c>
      <c r="F24" s="585">
        <v>0.45610569551543911</v>
      </c>
      <c r="G24" s="497">
        <v>1.1634620251630512</v>
      </c>
      <c r="H24" s="497">
        <f t="shared" ref="H24:K24" si="6">H8</f>
        <v>0.96666666666666679</v>
      </c>
      <c r="I24" s="497">
        <f t="shared" si="6"/>
        <v>2.1999999999999997</v>
      </c>
      <c r="J24" s="498">
        <f t="shared" si="6"/>
        <v>0.8</v>
      </c>
      <c r="K24" s="498">
        <f t="shared" si="6"/>
        <v>1.7</v>
      </c>
    </row>
    <row r="25" spans="2:11" x14ac:dyDescent="0.25">
      <c r="B25" s="515" t="s">
        <v>1180</v>
      </c>
      <c r="C25" s="583">
        <v>6</v>
      </c>
      <c r="D25" s="497">
        <v>0.4666249180764378</v>
      </c>
      <c r="E25" s="497">
        <v>1.1401667611574338</v>
      </c>
      <c r="F25" s="585">
        <v>0.50920526910722885</v>
      </c>
      <c r="G25" s="497">
        <v>1.2989116326418222</v>
      </c>
      <c r="H25" s="497">
        <f t="shared" ref="H25:K25" si="7">H9</f>
        <v>0.83333333333333337</v>
      </c>
      <c r="I25" s="497">
        <f t="shared" si="7"/>
        <v>1.8333333333333333</v>
      </c>
      <c r="J25" s="498">
        <f t="shared" si="7"/>
        <v>0.6</v>
      </c>
      <c r="K25" s="498">
        <f t="shared" si="7"/>
        <v>1.2</v>
      </c>
    </row>
    <row r="26" spans="2:11" x14ac:dyDescent="0.25">
      <c r="B26" s="515" t="s">
        <v>1099</v>
      </c>
      <c r="C26" s="583">
        <v>7</v>
      </c>
      <c r="D26" s="497">
        <v>7.3912129993784843</v>
      </c>
      <c r="E26" s="497">
        <v>18.059934349981766</v>
      </c>
      <c r="F26" s="585">
        <v>7.3335329207283637</v>
      </c>
      <c r="G26" s="497">
        <v>18.706819817078365</v>
      </c>
      <c r="H26" s="497">
        <f t="shared" ref="H26:K26" si="8">H10</f>
        <v>5.8666666666666671</v>
      </c>
      <c r="I26" s="497">
        <f t="shared" si="8"/>
        <v>13.333333333333334</v>
      </c>
      <c r="J26" s="498">
        <f t="shared" si="8"/>
        <v>7.2</v>
      </c>
      <c r="K26" s="498">
        <f t="shared" si="8"/>
        <v>15.2</v>
      </c>
    </row>
    <row r="27" spans="2:11" x14ac:dyDescent="0.25">
      <c r="B27" s="515" t="s">
        <v>1100</v>
      </c>
      <c r="C27" s="583">
        <v>8</v>
      </c>
      <c r="D27" s="497">
        <v>0.99316327771975121</v>
      </c>
      <c r="E27" s="497">
        <v>2.4267280074244462</v>
      </c>
      <c r="F27" s="585">
        <v>1.0006267417264496</v>
      </c>
      <c r="G27" s="497">
        <v>2.5524592803993009</v>
      </c>
      <c r="H27" s="497">
        <f t="shared" ref="H27:K27" si="9">H11</f>
        <v>1.5</v>
      </c>
      <c r="I27" s="497">
        <f t="shared" si="9"/>
        <v>3.4</v>
      </c>
      <c r="J27" s="498">
        <f t="shared" si="9"/>
        <v>1</v>
      </c>
      <c r="K27" s="498">
        <f t="shared" si="9"/>
        <v>2.2000000000000002</v>
      </c>
    </row>
    <row r="28" spans="2:11" x14ac:dyDescent="0.25">
      <c r="B28" s="515" t="s">
        <v>1101</v>
      </c>
      <c r="C28" s="583">
        <v>9</v>
      </c>
      <c r="D28" s="497">
        <v>3.995770772900852</v>
      </c>
      <c r="E28" s="497">
        <v>9.7633984898329143</v>
      </c>
      <c r="F28" s="585">
        <v>4.1511958455976998</v>
      </c>
      <c r="G28" s="497">
        <v>10.589121716424733</v>
      </c>
      <c r="H28" s="497">
        <f t="shared" ref="H28:K28" si="10">H12</f>
        <v>5.1000000000000005</v>
      </c>
      <c r="I28" s="497">
        <f t="shared" si="10"/>
        <v>11.566666666666668</v>
      </c>
      <c r="J28" s="498">
        <f t="shared" si="10"/>
        <v>4.9000000000000004</v>
      </c>
      <c r="K28" s="498">
        <f t="shared" si="10"/>
        <v>10.3</v>
      </c>
    </row>
    <row r="29" spans="2:11" ht="14.25" thickBot="1" x14ac:dyDescent="0.3">
      <c r="B29" s="586" t="s">
        <v>1102</v>
      </c>
      <c r="C29" s="582">
        <v>10</v>
      </c>
      <c r="D29" s="499">
        <v>14.168147404044696</v>
      </c>
      <c r="E29" s="499">
        <v>34.618920060811128</v>
      </c>
      <c r="F29" s="499">
        <v>13.632258172824031</v>
      </c>
      <c r="G29" s="499">
        <v>34.773989575761661</v>
      </c>
      <c r="H29" s="499">
        <f t="shared" ref="H29:K29" si="11">H13</f>
        <v>14.533333333333333</v>
      </c>
      <c r="I29" s="499">
        <f t="shared" si="11"/>
        <v>32.766666666666673</v>
      </c>
      <c r="J29" s="500">
        <f t="shared" si="11"/>
        <v>19.2</v>
      </c>
      <c r="K29" s="500">
        <f t="shared" si="11"/>
        <v>40.6</v>
      </c>
    </row>
    <row r="30" spans="2:11" ht="14.25" thickBot="1" x14ac:dyDescent="0.3">
      <c r="B30" s="578" t="s">
        <v>1103</v>
      </c>
      <c r="C30" s="579" t="s">
        <v>944</v>
      </c>
      <c r="D30" s="588">
        <v>40.926023628573965</v>
      </c>
      <c r="E30" s="588">
        <v>100</v>
      </c>
      <c r="F30" s="588">
        <v>39.202456603731356</v>
      </c>
      <c r="G30" s="588">
        <v>100</v>
      </c>
      <c r="H30" s="501">
        <v>44.5</v>
      </c>
      <c r="I30" s="501">
        <v>100</v>
      </c>
      <c r="J30" s="501">
        <v>47.2</v>
      </c>
      <c r="K30" s="501">
        <v>100</v>
      </c>
    </row>
  </sheetData>
  <mergeCells count="12">
    <mergeCell ref="B15:I15"/>
    <mergeCell ref="J15:K15"/>
    <mergeCell ref="B17:K17"/>
    <mergeCell ref="D18:E18"/>
    <mergeCell ref="F18:G18"/>
    <mergeCell ref="H18:I18"/>
    <mergeCell ref="J18:K18"/>
    <mergeCell ref="B1:K1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4"/>
  <dimension ref="B1:N38"/>
  <sheetViews>
    <sheetView zoomScale="85" zoomScaleNormal="85" workbookViewId="0"/>
  </sheetViews>
  <sheetFormatPr defaultRowHeight="13.5" x14ac:dyDescent="0.25"/>
  <cols>
    <col min="1" max="1" width="15.7109375" style="493" customWidth="1"/>
    <col min="2" max="2" width="15.7109375" style="493" bestFit="1" customWidth="1"/>
    <col min="3" max="3" width="15" style="493" bestFit="1" customWidth="1"/>
    <col min="4" max="4" width="15" style="493" customWidth="1"/>
    <col min="5" max="5" width="9" style="493" bestFit="1" customWidth="1"/>
    <col min="6" max="6" width="9" style="493" customWidth="1"/>
    <col min="7" max="10" width="9.140625" style="493"/>
    <col min="11" max="11" width="29.42578125" style="493" customWidth="1"/>
    <col min="12" max="12" width="19" style="493" bestFit="1" customWidth="1"/>
    <col min="13" max="14" width="19.5703125" style="493" bestFit="1" customWidth="1"/>
    <col min="15" max="16384" width="9.140625" style="493"/>
  </cols>
  <sheetData>
    <row r="1" spans="2:14" ht="16.5" customHeight="1" x14ac:dyDescent="0.25">
      <c r="K1" s="503" t="s">
        <v>1091</v>
      </c>
      <c r="L1" s="503" t="s">
        <v>1092</v>
      </c>
      <c r="M1" s="504" t="s">
        <v>1163</v>
      </c>
      <c r="N1" s="504" t="s">
        <v>1164</v>
      </c>
    </row>
    <row r="2" spans="2:14" x14ac:dyDescent="0.25">
      <c r="B2" s="506"/>
      <c r="C2" s="506"/>
      <c r="D2" s="506"/>
      <c r="K2" s="503"/>
      <c r="L2" s="503"/>
      <c r="M2" s="505" t="s">
        <v>1165</v>
      </c>
      <c r="N2" s="505" t="s">
        <v>1165</v>
      </c>
    </row>
    <row r="3" spans="2:14" x14ac:dyDescent="0.25">
      <c r="B3" s="511" t="s">
        <v>1187</v>
      </c>
      <c r="C3" s="512"/>
      <c r="D3" s="512"/>
      <c r="E3" s="512"/>
      <c r="F3" s="512"/>
      <c r="G3" s="512"/>
      <c r="H3" s="512"/>
      <c r="K3" s="507" t="s">
        <v>1093</v>
      </c>
      <c r="L3" s="508">
        <v>1</v>
      </c>
      <c r="M3" s="509">
        <v>-1.6366838608514733E-2</v>
      </c>
      <c r="N3" s="510">
        <v>-0.44135387276338456</v>
      </c>
    </row>
    <row r="4" spans="2:14" x14ac:dyDescent="0.25">
      <c r="K4" s="504" t="s">
        <v>1094</v>
      </c>
      <c r="L4" s="503">
        <v>2</v>
      </c>
      <c r="M4" s="513">
        <v>1.1938154505797272E-4</v>
      </c>
      <c r="N4" s="514">
        <v>3.7692516690421618E-2</v>
      </c>
    </row>
    <row r="5" spans="2:14" ht="17.25" customHeight="1" x14ac:dyDescent="0.25">
      <c r="F5" s="515"/>
      <c r="K5" s="504" t="s">
        <v>1095</v>
      </c>
      <c r="L5" s="503">
        <v>3</v>
      </c>
      <c r="M5" s="513">
        <v>4.1155524823066614E-3</v>
      </c>
      <c r="N5" s="514">
        <v>-5.2435383798628887E-2</v>
      </c>
    </row>
    <row r="6" spans="2:14" x14ac:dyDescent="0.25">
      <c r="B6" s="493" t="s">
        <v>294</v>
      </c>
      <c r="K6" s="504" t="s">
        <v>1096</v>
      </c>
      <c r="L6" s="503">
        <v>4</v>
      </c>
      <c r="M6" s="513">
        <v>-0.12221055242175627</v>
      </c>
      <c r="N6" s="514">
        <v>-0.8860331177534273</v>
      </c>
    </row>
    <row r="7" spans="2:14" x14ac:dyDescent="0.25">
      <c r="G7" s="516"/>
      <c r="K7" s="504" t="s">
        <v>1097</v>
      </c>
      <c r="L7" s="503">
        <v>5</v>
      </c>
      <c r="M7" s="513">
        <v>7.3633997791875405E-3</v>
      </c>
      <c r="N7" s="514">
        <v>6.6632549188513357E-3</v>
      </c>
    </row>
    <row r="8" spans="2:14" x14ac:dyDescent="0.25">
      <c r="G8" s="516"/>
      <c r="K8" s="504" t="s">
        <v>1098</v>
      </c>
      <c r="L8" s="503">
        <v>6</v>
      </c>
      <c r="M8" s="513">
        <v>2.0761192123991412E-3</v>
      </c>
      <c r="N8" s="514">
        <v>4.2580351030791053E-2</v>
      </c>
    </row>
    <row r="9" spans="2:14" x14ac:dyDescent="0.25">
      <c r="G9" s="516"/>
      <c r="K9" s="504" t="s">
        <v>1099</v>
      </c>
      <c r="L9" s="503">
        <v>7</v>
      </c>
      <c r="M9" s="513">
        <v>5.3258025203040127E-2</v>
      </c>
      <c r="N9" s="514">
        <v>-5.7680078650120592E-2</v>
      </c>
    </row>
    <row r="10" spans="2:14" x14ac:dyDescent="0.25">
      <c r="G10" s="516"/>
      <c r="K10" s="504" t="s">
        <v>1124</v>
      </c>
      <c r="L10" s="503">
        <v>8</v>
      </c>
      <c r="M10" s="513">
        <v>8.0834098781071839E-3</v>
      </c>
      <c r="N10" s="514">
        <v>7.4634640066983948E-3</v>
      </c>
    </row>
    <row r="11" spans="2:14" x14ac:dyDescent="0.25">
      <c r="G11" s="516"/>
      <c r="K11" s="504" t="s">
        <v>1101</v>
      </c>
      <c r="L11" s="503">
        <v>9</v>
      </c>
      <c r="M11" s="513">
        <v>7.0913692332155165E-3</v>
      </c>
      <c r="N11" s="514">
        <v>0.1554250726968478</v>
      </c>
    </row>
    <row r="12" spans="2:14" x14ac:dyDescent="0.25">
      <c r="G12" s="516"/>
      <c r="K12" s="504" t="s">
        <v>1102</v>
      </c>
      <c r="L12" s="503">
        <v>10</v>
      </c>
      <c r="M12" s="513">
        <v>0.15312973150018827</v>
      </c>
      <c r="N12" s="514">
        <v>-0.5358892312206649</v>
      </c>
    </row>
    <row r="13" spans="2:14" x14ac:dyDescent="0.25">
      <c r="G13" s="516"/>
      <c r="K13" s="504" t="s">
        <v>1125</v>
      </c>
      <c r="L13" s="503" t="s">
        <v>944</v>
      </c>
      <c r="M13" s="513">
        <v>9.6659597803224528E-2</v>
      </c>
      <c r="N13" s="514">
        <v>-1.7235670248426089</v>
      </c>
    </row>
    <row r="14" spans="2:14" x14ac:dyDescent="0.25">
      <c r="G14" s="516"/>
    </row>
    <row r="15" spans="2:14" x14ac:dyDescent="0.25">
      <c r="G15" s="516"/>
      <c r="K15" s="515"/>
      <c r="L15" s="497"/>
      <c r="M15" s="498"/>
      <c r="N15" s="497"/>
    </row>
    <row r="16" spans="2:14" x14ac:dyDescent="0.25">
      <c r="B16" s="512"/>
      <c r="C16" s="512"/>
      <c r="D16" s="512"/>
      <c r="E16" s="512"/>
      <c r="F16" s="512"/>
      <c r="G16" s="512"/>
      <c r="H16" s="512"/>
      <c r="K16" s="505" t="s">
        <v>1162</v>
      </c>
      <c r="L16" s="517" t="s">
        <v>1126</v>
      </c>
      <c r="M16" s="517" t="s">
        <v>1127</v>
      </c>
    </row>
    <row r="17" spans="2:13" x14ac:dyDescent="0.25">
      <c r="K17" s="505" t="s">
        <v>1128</v>
      </c>
      <c r="L17" s="518">
        <f>M12</f>
        <v>0.15312973150018827</v>
      </c>
      <c r="M17" s="518">
        <f>N12</f>
        <v>-0.5358892312206649</v>
      </c>
    </row>
    <row r="18" spans="2:13" x14ac:dyDescent="0.25">
      <c r="K18" s="505" t="s">
        <v>1129</v>
      </c>
      <c r="L18" s="518">
        <f>M11</f>
        <v>7.0913692332155165E-3</v>
      </c>
      <c r="M18" s="518">
        <f>N11</f>
        <v>0.1554250726968478</v>
      </c>
    </row>
    <row r="19" spans="2:13" x14ac:dyDescent="0.25">
      <c r="K19" s="505" t="s">
        <v>1130</v>
      </c>
      <c r="L19" s="518">
        <f>M10</f>
        <v>8.0834098781071839E-3</v>
      </c>
      <c r="M19" s="518">
        <f>N10</f>
        <v>7.4634640066983948E-3</v>
      </c>
    </row>
    <row r="20" spans="2:13" x14ac:dyDescent="0.25">
      <c r="B20" s="511" t="s">
        <v>1188</v>
      </c>
      <c r="C20" s="512"/>
      <c r="D20" s="512"/>
      <c r="E20" s="512"/>
      <c r="F20" s="512"/>
      <c r="G20" s="512"/>
      <c r="H20" s="512"/>
      <c r="I20" s="512"/>
      <c r="K20" s="505" t="s">
        <v>1131</v>
      </c>
      <c r="L20" s="518">
        <f>M9</f>
        <v>5.3258025203040127E-2</v>
      </c>
      <c r="M20" s="518">
        <f>N9</f>
        <v>-5.7680078650120592E-2</v>
      </c>
    </row>
    <row r="21" spans="2:13" x14ac:dyDescent="0.25">
      <c r="K21" s="505" t="s">
        <v>1132</v>
      </c>
      <c r="L21" s="518">
        <f>M8</f>
        <v>2.0761192123991412E-3</v>
      </c>
      <c r="M21" s="518">
        <f>N8</f>
        <v>4.2580351030791053E-2</v>
      </c>
    </row>
    <row r="22" spans="2:13" x14ac:dyDescent="0.25">
      <c r="K22" s="505" t="s">
        <v>1133</v>
      </c>
      <c r="L22" s="518">
        <f>M7</f>
        <v>7.3633997791875405E-3</v>
      </c>
      <c r="M22" s="518">
        <f>N7</f>
        <v>6.6632549188513357E-3</v>
      </c>
    </row>
    <row r="23" spans="2:13" x14ac:dyDescent="0.25">
      <c r="K23" s="505" t="s">
        <v>1134</v>
      </c>
      <c r="L23" s="518">
        <f>M6</f>
        <v>-0.12221055242175627</v>
      </c>
      <c r="M23" s="518">
        <f>N6</f>
        <v>-0.8860331177534273</v>
      </c>
    </row>
    <row r="24" spans="2:13" x14ac:dyDescent="0.25">
      <c r="K24" s="505" t="s">
        <v>1135</v>
      </c>
      <c r="L24" s="518">
        <f>M5</f>
        <v>4.1155524823066614E-3</v>
      </c>
      <c r="M24" s="518">
        <f>N5</f>
        <v>-5.2435383798628887E-2</v>
      </c>
    </row>
    <row r="25" spans="2:13" x14ac:dyDescent="0.25">
      <c r="K25" s="505" t="s">
        <v>1136</v>
      </c>
      <c r="L25" s="518">
        <f>M4</f>
        <v>1.1938154505797272E-4</v>
      </c>
      <c r="M25" s="518">
        <f>N4</f>
        <v>3.7692516690421618E-2</v>
      </c>
    </row>
    <row r="26" spans="2:13" x14ac:dyDescent="0.25">
      <c r="K26" s="505" t="s">
        <v>1137</v>
      </c>
      <c r="L26" s="518">
        <f>M3</f>
        <v>-1.6366838608514733E-2</v>
      </c>
      <c r="M26" s="518">
        <f>N3</f>
        <v>-0.44135387276338456</v>
      </c>
    </row>
    <row r="27" spans="2:13" x14ac:dyDescent="0.25">
      <c r="L27" s="496"/>
    </row>
    <row r="28" spans="2:13" x14ac:dyDescent="0.25">
      <c r="K28" s="504" t="s">
        <v>1163</v>
      </c>
      <c r="L28" s="505" t="s">
        <v>1165</v>
      </c>
      <c r="M28" s="505" t="s">
        <v>1165</v>
      </c>
    </row>
    <row r="29" spans="2:13" x14ac:dyDescent="0.25">
      <c r="K29" s="505" t="str">
        <f>K12</f>
        <v>10. Social protection</v>
      </c>
      <c r="L29" s="518">
        <v>0.15312973150018827</v>
      </c>
      <c r="M29" s="518">
        <v>-0.5358892312206649</v>
      </c>
    </row>
    <row r="30" spans="2:13" x14ac:dyDescent="0.25">
      <c r="K30" s="505" t="str">
        <f>K11</f>
        <v>9. Education</v>
      </c>
      <c r="L30" s="518">
        <v>7.0913692332155165E-3</v>
      </c>
      <c r="M30" s="518">
        <v>0.1554250726968478</v>
      </c>
    </row>
    <row r="31" spans="2:13" x14ac:dyDescent="0.25">
      <c r="K31" s="505" t="str">
        <f>K10</f>
        <v>8. Recreation, culture  and religion</v>
      </c>
      <c r="L31" s="518">
        <v>8.0834098781071839E-3</v>
      </c>
      <c r="M31" s="518">
        <v>7.4634640066983948E-3</v>
      </c>
    </row>
    <row r="32" spans="2:13" x14ac:dyDescent="0.25">
      <c r="K32" s="505" t="str">
        <f>K9</f>
        <v>7. Health</v>
      </c>
      <c r="L32" s="518">
        <v>5.3258025203040127E-2</v>
      </c>
      <c r="M32" s="518">
        <v>-5.7680078650120592E-2</v>
      </c>
    </row>
    <row r="33" spans="2:13" x14ac:dyDescent="0.25">
      <c r="K33" s="505" t="str">
        <f>K8</f>
        <v>6. housing and community amenities</v>
      </c>
      <c r="L33" s="518">
        <v>2.0761192123991412E-3</v>
      </c>
      <c r="M33" s="518">
        <v>4.2580351030791053E-2</v>
      </c>
    </row>
    <row r="34" spans="2:13" x14ac:dyDescent="0.25">
      <c r="B34" s="512"/>
      <c r="C34" s="512"/>
      <c r="D34" s="512"/>
      <c r="E34" s="512"/>
      <c r="F34" s="512"/>
      <c r="G34" s="512"/>
      <c r="H34" s="512"/>
      <c r="I34" s="512"/>
      <c r="K34" s="505" t="str">
        <f>K7</f>
        <v>5. Environmental protection</v>
      </c>
      <c r="L34" s="518">
        <v>7.3633997791875405E-3</v>
      </c>
      <c r="M34" s="518">
        <v>6.6632549188513357E-3</v>
      </c>
    </row>
    <row r="35" spans="2:13" x14ac:dyDescent="0.25">
      <c r="K35" s="505" t="str">
        <f>K6</f>
        <v xml:space="preserve">4. Economic affairs </v>
      </c>
      <c r="L35" s="518">
        <v>-0.12221055242175627</v>
      </c>
      <c r="M35" s="518">
        <v>-0.8860331177534273</v>
      </c>
    </row>
    <row r="36" spans="2:13" x14ac:dyDescent="0.25">
      <c r="K36" s="505" t="str">
        <f>K5</f>
        <v>3. Public order and safety</v>
      </c>
      <c r="L36" s="518">
        <v>4.1155524823066614E-3</v>
      </c>
      <c r="M36" s="518">
        <v>-5.2435383798628887E-2</v>
      </c>
    </row>
    <row r="37" spans="2:13" x14ac:dyDescent="0.25">
      <c r="K37" s="505" t="str">
        <f>K4</f>
        <v>2. Defense</v>
      </c>
      <c r="L37" s="518">
        <v>1.1938154505797272E-4</v>
      </c>
      <c r="M37" s="518">
        <v>3.7692516690421618E-2</v>
      </c>
    </row>
    <row r="38" spans="2:13" x14ac:dyDescent="0.25">
      <c r="K38" s="505" t="str">
        <f>K3</f>
        <v>1. General public services</v>
      </c>
      <c r="L38" s="518">
        <v>-1.6366838608514733E-2</v>
      </c>
      <c r="M38" s="518">
        <v>-0.44135387276338456</v>
      </c>
    </row>
  </sheetData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5"/>
  <dimension ref="A2:AS35"/>
  <sheetViews>
    <sheetView showGridLines="0" zoomScale="85" zoomScaleNormal="85" workbookViewId="0">
      <selection activeCell="A27" sqref="A27"/>
    </sheetView>
  </sheetViews>
  <sheetFormatPr defaultRowHeight="13.5" x14ac:dyDescent="0.25"/>
  <cols>
    <col min="1" max="11" width="9.140625" style="590"/>
    <col min="12" max="27" width="9.140625" style="520"/>
    <col min="28" max="28" width="5.28515625" style="520" bestFit="1" customWidth="1"/>
    <col min="29" max="29" width="9.140625" style="520"/>
    <col min="30" max="30" width="7.140625" style="520" bestFit="1" customWidth="1"/>
    <col min="31" max="31" width="43.85546875" style="520" customWidth="1"/>
    <col min="32" max="32" width="11.85546875" style="520" customWidth="1"/>
    <col min="33" max="33" width="9.140625" style="520"/>
    <col min="34" max="34" width="16.28515625" style="520" bestFit="1" customWidth="1"/>
    <col min="35" max="45" width="9.140625" style="520"/>
    <col min="46" max="16384" width="9.140625" style="590"/>
  </cols>
  <sheetData>
    <row r="2" spans="1:34" x14ac:dyDescent="0.25">
      <c r="L2" s="519" t="s">
        <v>1547</v>
      </c>
      <c r="M2" s="393"/>
      <c r="N2" s="393"/>
      <c r="O2" s="393"/>
      <c r="P2" s="393"/>
      <c r="Q2" s="393"/>
      <c r="R2" s="393"/>
      <c r="S2" s="393"/>
      <c r="T2" s="393"/>
      <c r="U2" s="519" t="s">
        <v>1548</v>
      </c>
      <c r="V2" s="393"/>
      <c r="W2" s="393"/>
      <c r="X2" s="393"/>
      <c r="Y2" s="393"/>
      <c r="Z2" s="393"/>
      <c r="AA2" s="393"/>
      <c r="AB2" s="393"/>
    </row>
    <row r="3" spans="1:34" x14ac:dyDescent="0.25">
      <c r="A3" s="511" t="s">
        <v>1594</v>
      </c>
      <c r="B3" s="591"/>
      <c r="C3" s="591"/>
      <c r="D3" s="591"/>
      <c r="E3" s="591"/>
      <c r="F3" s="591"/>
      <c r="G3" s="591"/>
      <c r="H3" s="591"/>
      <c r="L3" s="519" t="s">
        <v>1549</v>
      </c>
      <c r="M3" s="521" t="s">
        <v>1543</v>
      </c>
      <c r="N3" s="521" t="s">
        <v>1544</v>
      </c>
      <c r="O3" s="521" t="s">
        <v>1545</v>
      </c>
      <c r="P3" s="522">
        <v>2013</v>
      </c>
      <c r="Q3" s="522">
        <v>2014</v>
      </c>
      <c r="R3" s="522">
        <v>2015</v>
      </c>
      <c r="S3" s="522" t="s">
        <v>1546</v>
      </c>
      <c r="T3" s="523"/>
      <c r="U3" s="519" t="s">
        <v>1549</v>
      </c>
      <c r="V3" s="521" t="s">
        <v>1543</v>
      </c>
      <c r="W3" s="521" t="s">
        <v>1544</v>
      </c>
      <c r="X3" s="521" t="s">
        <v>1545</v>
      </c>
      <c r="Y3" s="522">
        <v>2013</v>
      </c>
      <c r="Z3" s="522">
        <v>2014</v>
      </c>
      <c r="AA3" s="522">
        <v>2015</v>
      </c>
      <c r="AB3" s="522" t="s">
        <v>1546</v>
      </c>
      <c r="AD3" s="522" t="s">
        <v>1549</v>
      </c>
      <c r="AE3" s="522" t="s">
        <v>1491</v>
      </c>
      <c r="AF3" s="522"/>
      <c r="AG3" s="522" t="s">
        <v>1492</v>
      </c>
      <c r="AH3" s="522" t="s">
        <v>1550</v>
      </c>
    </row>
    <row r="4" spans="1:34" x14ac:dyDescent="0.25">
      <c r="L4" s="524" t="s">
        <v>1503</v>
      </c>
      <c r="M4" s="525">
        <v>1.8002668798780004</v>
      </c>
      <c r="N4" s="525">
        <v>1.8002668798780004</v>
      </c>
      <c r="O4" s="525">
        <v>1.8002668798780004</v>
      </c>
      <c r="P4" s="526">
        <v>0.95985768516560299</v>
      </c>
      <c r="Q4" s="526">
        <v>0.95985768516560299</v>
      </c>
      <c r="R4" s="526">
        <v>0.96</v>
      </c>
      <c r="S4" s="527">
        <v>0.67952380952380964</v>
      </c>
      <c r="T4" s="527"/>
      <c r="U4" s="524" t="s">
        <v>1496</v>
      </c>
      <c r="V4" s="525">
        <v>1.676461</v>
      </c>
      <c r="W4" s="525">
        <v>3.3168440000000001</v>
      </c>
      <c r="X4" s="525">
        <v>3.5249899999999998</v>
      </c>
      <c r="Y4" s="526">
        <v>2.0338029999999998</v>
      </c>
      <c r="Z4" s="526">
        <v>3.8686319999999998</v>
      </c>
      <c r="AA4" s="526">
        <v>4.1010859999999996</v>
      </c>
      <c r="AB4" s="527">
        <v>1.8561443214285711</v>
      </c>
      <c r="AD4" s="524" t="s">
        <v>1321</v>
      </c>
      <c r="AE4" s="528" t="s">
        <v>1493</v>
      </c>
      <c r="AF4" s="524" t="str">
        <f>AD4</f>
        <v>ES</v>
      </c>
      <c r="AG4" s="529">
        <v>90</v>
      </c>
      <c r="AH4" s="529">
        <f t="shared" ref="AH4:AH32" si="0">AVERAGE($AG$4:$AG$32)</f>
        <v>60.301724137931032</v>
      </c>
    </row>
    <row r="5" spans="1:34" x14ac:dyDescent="0.25">
      <c r="L5" s="524" t="s">
        <v>1530</v>
      </c>
      <c r="M5" s="525">
        <v>1.8023616870579997</v>
      </c>
      <c r="N5" s="525">
        <v>1.8023616870579997</v>
      </c>
      <c r="O5" s="525">
        <v>1.8023616870579997</v>
      </c>
      <c r="P5" s="526">
        <v>0.94875518730718167</v>
      </c>
      <c r="Q5" s="526">
        <v>0.94875518730718167</v>
      </c>
      <c r="R5" s="526">
        <v>0.95000000000000018</v>
      </c>
      <c r="S5" s="527">
        <v>0.67952380952380964</v>
      </c>
      <c r="T5" s="527"/>
      <c r="U5" s="524" t="s">
        <v>1314</v>
      </c>
      <c r="V5" s="525">
        <v>8.7706999999999993E-2</v>
      </c>
      <c r="W5" s="525">
        <v>2.9469379999999998</v>
      </c>
      <c r="X5" s="525">
        <v>2.9742950000000001</v>
      </c>
      <c r="Y5" s="526">
        <v>0.26050099999999998</v>
      </c>
      <c r="Z5" s="526">
        <v>3.4966599999999999</v>
      </c>
      <c r="AA5" s="526">
        <v>3.5275159999999999</v>
      </c>
      <c r="AB5" s="527">
        <v>1.8561443214285711</v>
      </c>
      <c r="AD5" s="524" t="s">
        <v>1494</v>
      </c>
      <c r="AE5" s="528" t="s">
        <v>1495</v>
      </c>
      <c r="AF5" s="524" t="str">
        <f t="shared" ref="AF5:AF10" si="1">AD5</f>
        <v>UK</v>
      </c>
      <c r="AG5" s="529">
        <v>90</v>
      </c>
      <c r="AH5" s="529">
        <f t="shared" si="0"/>
        <v>60.301724137931032</v>
      </c>
    </row>
    <row r="6" spans="1:34" x14ac:dyDescent="0.25">
      <c r="L6" s="524" t="s">
        <v>1311</v>
      </c>
      <c r="M6" s="525">
        <v>2.0000000028479996</v>
      </c>
      <c r="N6" s="525">
        <v>2.0000000028479996</v>
      </c>
      <c r="O6" s="525">
        <v>2.0000000028479996</v>
      </c>
      <c r="P6" s="526">
        <v>0.94999999864720031</v>
      </c>
      <c r="Q6" s="526">
        <v>0.94999999864720031</v>
      </c>
      <c r="R6" s="526">
        <v>0.95000000000000007</v>
      </c>
      <c r="S6" s="527">
        <v>0.67952380952380964</v>
      </c>
      <c r="T6" s="527"/>
      <c r="U6" s="524" t="s">
        <v>1521</v>
      </c>
      <c r="V6" s="525">
        <v>0.49024899999999999</v>
      </c>
      <c r="W6" s="525">
        <v>0.49024899999999999</v>
      </c>
      <c r="X6" s="525">
        <v>3.0250599999999999</v>
      </c>
      <c r="Y6" s="526">
        <v>0.53213500000000002</v>
      </c>
      <c r="Z6" s="526">
        <v>0.53213500000000002</v>
      </c>
      <c r="AA6" s="526">
        <v>3.0870860000000002</v>
      </c>
      <c r="AB6" s="527">
        <v>1.8561443214285711</v>
      </c>
      <c r="AD6" s="524" t="s">
        <v>1496</v>
      </c>
      <c r="AE6" s="528" t="s">
        <v>1497</v>
      </c>
      <c r="AF6" s="524" t="str">
        <f t="shared" si="1"/>
        <v>BG</v>
      </c>
      <c r="AG6" s="529">
        <v>80</v>
      </c>
      <c r="AH6" s="529">
        <f t="shared" si="0"/>
        <v>60.301724137931032</v>
      </c>
    </row>
    <row r="7" spans="1:34" x14ac:dyDescent="0.25">
      <c r="L7" s="524" t="s">
        <v>1321</v>
      </c>
      <c r="M7" s="525">
        <v>1.7980762733680005</v>
      </c>
      <c r="N7" s="525">
        <v>1.7980762733680005</v>
      </c>
      <c r="O7" s="525">
        <v>1.7980762733680005</v>
      </c>
      <c r="P7" s="526">
        <v>0.84089869956842977</v>
      </c>
      <c r="Q7" s="526">
        <v>0.84089869956842977</v>
      </c>
      <c r="R7" s="526">
        <v>0.84000000000000008</v>
      </c>
      <c r="S7" s="527">
        <v>0.67952380952380964</v>
      </c>
      <c r="T7" s="527"/>
      <c r="U7" s="524" t="s">
        <v>1312</v>
      </c>
      <c r="V7" s="525">
        <v>2.9262410000000001</v>
      </c>
      <c r="W7" s="525">
        <v>2.7936740000000002</v>
      </c>
      <c r="X7" s="525">
        <v>2.9242379999999999</v>
      </c>
      <c r="Y7" s="526">
        <v>3.03634</v>
      </c>
      <c r="Z7" s="526">
        <v>2.9001929999999998</v>
      </c>
      <c r="AA7" s="526">
        <v>3.033512</v>
      </c>
      <c r="AB7" s="527">
        <v>1.8561443214285711</v>
      </c>
      <c r="AD7" s="524" t="s">
        <v>1498</v>
      </c>
      <c r="AE7" s="528" t="s">
        <v>1499</v>
      </c>
      <c r="AF7" s="524" t="str">
        <f t="shared" si="1"/>
        <v>EL</v>
      </c>
      <c r="AG7" s="529">
        <v>80</v>
      </c>
      <c r="AH7" s="529">
        <f t="shared" si="0"/>
        <v>60.301724137931032</v>
      </c>
    </row>
    <row r="8" spans="1:34" x14ac:dyDescent="0.25">
      <c r="L8" s="524" t="s">
        <v>1312</v>
      </c>
      <c r="M8" s="525">
        <v>2.0000000028479996</v>
      </c>
      <c r="N8" s="525">
        <v>2.0000000028479996</v>
      </c>
      <c r="O8" s="525">
        <v>2.0000000028479996</v>
      </c>
      <c r="P8" s="526">
        <v>0.81999999883232022</v>
      </c>
      <c r="Q8" s="526">
        <v>0.81999999883232022</v>
      </c>
      <c r="R8" s="526">
        <v>0.82000000000000006</v>
      </c>
      <c r="S8" s="527">
        <v>0.67952380952380964</v>
      </c>
      <c r="T8" s="527"/>
      <c r="U8" s="524" t="s">
        <v>1530</v>
      </c>
      <c r="V8" s="525">
        <v>1.6101749999999999</v>
      </c>
      <c r="W8" s="525">
        <v>2.3914149999999998</v>
      </c>
      <c r="X8" s="525">
        <v>2.3914149999999998</v>
      </c>
      <c r="Y8" s="526">
        <v>2.0256439999999998</v>
      </c>
      <c r="Z8" s="526">
        <v>2.9260389999999998</v>
      </c>
      <c r="AA8" s="526">
        <v>2.926037</v>
      </c>
      <c r="AB8" s="527">
        <v>1.8561443214285711</v>
      </c>
      <c r="AD8" s="524" t="s">
        <v>1500</v>
      </c>
      <c r="AE8" s="528" t="s">
        <v>1501</v>
      </c>
      <c r="AF8" s="524" t="str">
        <f t="shared" si="1"/>
        <v>MT</v>
      </c>
      <c r="AG8" s="529">
        <v>80</v>
      </c>
      <c r="AH8" s="529">
        <f t="shared" si="0"/>
        <v>60.301724137931032</v>
      </c>
    </row>
    <row r="9" spans="1:34" x14ac:dyDescent="0.25">
      <c r="L9" s="524" t="s">
        <v>1494</v>
      </c>
      <c r="M9" s="525">
        <v>1.2020191470880004</v>
      </c>
      <c r="N9" s="525">
        <v>1.2020191470880004</v>
      </c>
      <c r="O9" s="525">
        <v>1.4028954411180006</v>
      </c>
      <c r="P9" s="526">
        <v>0.69285277541809553</v>
      </c>
      <c r="Q9" s="526">
        <v>0.69285277541809553</v>
      </c>
      <c r="R9" s="526">
        <v>0.81</v>
      </c>
      <c r="S9" s="527">
        <v>0.67952380952380964</v>
      </c>
      <c r="T9" s="527"/>
      <c r="U9" s="524" t="s">
        <v>1321</v>
      </c>
      <c r="V9" s="525">
        <v>2.5225710000000001</v>
      </c>
      <c r="W9" s="525">
        <v>2.8569300000000002</v>
      </c>
      <c r="X9" s="525">
        <v>2.9007450000000001</v>
      </c>
      <c r="Y9" s="526">
        <v>2.5326970000000002</v>
      </c>
      <c r="Z9" s="526">
        <v>2.8690310000000001</v>
      </c>
      <c r="AA9" s="526">
        <v>2.913481</v>
      </c>
      <c r="AB9" s="527">
        <v>1.8561443214285711</v>
      </c>
      <c r="AD9" s="524" t="s">
        <v>1315</v>
      </c>
      <c r="AE9" s="528" t="s">
        <v>1502</v>
      </c>
      <c r="AF9" s="524" t="str">
        <f t="shared" si="1"/>
        <v>PT</v>
      </c>
      <c r="AG9" s="529">
        <v>80</v>
      </c>
      <c r="AH9" s="529">
        <f t="shared" si="0"/>
        <v>60.301724137931032</v>
      </c>
    </row>
    <row r="10" spans="1:34" x14ac:dyDescent="0.25">
      <c r="L10" s="524" t="s">
        <v>1317</v>
      </c>
      <c r="M10" s="525">
        <v>1.6026285640880003</v>
      </c>
      <c r="N10" s="525">
        <v>1.8002668798780004</v>
      </c>
      <c r="O10" s="525">
        <v>1.8002668798780004</v>
      </c>
      <c r="P10" s="526">
        <v>0.71100569271526159</v>
      </c>
      <c r="Q10" s="526">
        <v>0.79988140430466925</v>
      </c>
      <c r="R10" s="526">
        <v>0.8</v>
      </c>
      <c r="S10" s="527">
        <v>0.67952380952380964</v>
      </c>
      <c r="T10" s="527"/>
      <c r="U10" s="524" t="s">
        <v>1511</v>
      </c>
      <c r="V10" s="525">
        <v>2.633168</v>
      </c>
      <c r="W10" s="525">
        <v>2.633168</v>
      </c>
      <c r="X10" s="525">
        <v>2.633168</v>
      </c>
      <c r="Y10" s="526">
        <v>2.895432</v>
      </c>
      <c r="Z10" s="526">
        <v>2.895432</v>
      </c>
      <c r="AA10" s="526">
        <v>2.8954339999999998</v>
      </c>
      <c r="AB10" s="527">
        <v>1.8561443214285711</v>
      </c>
      <c r="AD10" s="524" t="s">
        <v>1503</v>
      </c>
      <c r="AE10" s="528" t="s">
        <v>1497</v>
      </c>
      <c r="AF10" s="524" t="str">
        <f t="shared" si="1"/>
        <v>RO</v>
      </c>
      <c r="AG10" s="529">
        <v>80</v>
      </c>
      <c r="AH10" s="529">
        <f t="shared" si="0"/>
        <v>60.301724137931032</v>
      </c>
    </row>
    <row r="11" spans="1:34" x14ac:dyDescent="0.25">
      <c r="L11" s="524" t="s">
        <v>1314</v>
      </c>
      <c r="M11" s="525">
        <v>1.6004379575780003</v>
      </c>
      <c r="N11" s="525">
        <v>1.6004379575780003</v>
      </c>
      <c r="O11" s="525">
        <v>1.6004379575780003</v>
      </c>
      <c r="P11" s="526">
        <v>0.78978381762005712</v>
      </c>
      <c r="Q11" s="526">
        <v>0.78978381762005712</v>
      </c>
      <c r="R11" s="526">
        <v>0.79</v>
      </c>
      <c r="S11" s="527">
        <v>0.67952380952380964</v>
      </c>
      <c r="T11" s="527"/>
      <c r="U11" s="524" t="s">
        <v>1503</v>
      </c>
      <c r="V11" s="525">
        <v>-0.622749</v>
      </c>
      <c r="W11" s="525">
        <v>1.9154990000000001</v>
      </c>
      <c r="X11" s="525">
        <v>1.9154990000000001</v>
      </c>
      <c r="Y11" s="526">
        <v>-0.47720600000000002</v>
      </c>
      <c r="Z11" s="526">
        <v>2.8427530000000001</v>
      </c>
      <c r="AA11" s="526">
        <v>2.8427539999999998</v>
      </c>
      <c r="AB11" s="527">
        <v>1.8561443214285711</v>
      </c>
      <c r="AD11" s="524" t="s">
        <v>1316</v>
      </c>
      <c r="AE11" s="528" t="s">
        <v>1504</v>
      </c>
      <c r="AF11" s="524" t="s">
        <v>1505</v>
      </c>
      <c r="AG11" s="529">
        <v>77.5</v>
      </c>
      <c r="AH11" s="529">
        <f t="shared" si="0"/>
        <v>60.301724137931032</v>
      </c>
    </row>
    <row r="12" spans="1:34" x14ac:dyDescent="0.25">
      <c r="L12" s="524" t="s">
        <v>1496</v>
      </c>
      <c r="M12" s="525">
        <v>0.99895224654800063</v>
      </c>
      <c r="N12" s="525">
        <v>1.3995616635480004</v>
      </c>
      <c r="O12" s="525">
        <v>1.3995616635480004</v>
      </c>
      <c r="P12" s="526">
        <v>0.53826376711660795</v>
      </c>
      <c r="Q12" s="526">
        <v>0.75356927396325124</v>
      </c>
      <c r="R12" s="526">
        <v>0.75333333333333341</v>
      </c>
      <c r="S12" s="527">
        <v>0.67952380952380964</v>
      </c>
      <c r="T12" s="527"/>
      <c r="U12" s="524" t="s">
        <v>1311</v>
      </c>
      <c r="V12" s="525">
        <v>0.46870499999999998</v>
      </c>
      <c r="W12" s="525">
        <v>2.7697340000000001</v>
      </c>
      <c r="X12" s="525">
        <v>2.7078440000000001</v>
      </c>
      <c r="Y12" s="526">
        <v>0.50734800000000002</v>
      </c>
      <c r="Z12" s="526">
        <v>2.8209569999999999</v>
      </c>
      <c r="AA12" s="526">
        <v>2.7564299999999999</v>
      </c>
      <c r="AB12" s="527">
        <v>1.8561443214285711</v>
      </c>
      <c r="AD12" s="524" t="s">
        <v>1314</v>
      </c>
      <c r="AE12" s="528" t="s">
        <v>1506</v>
      </c>
      <c r="AF12" s="524" t="str">
        <f>AD12</f>
        <v>IT</v>
      </c>
      <c r="AG12" s="529">
        <v>75</v>
      </c>
      <c r="AH12" s="529">
        <f t="shared" si="0"/>
        <v>60.301724137931032</v>
      </c>
    </row>
    <row r="13" spans="1:34" x14ac:dyDescent="0.25">
      <c r="L13" s="524" t="s">
        <v>1500</v>
      </c>
      <c r="M13" s="525">
        <v>1.5971999793380005</v>
      </c>
      <c r="N13" s="525">
        <v>1.5971999793380005</v>
      </c>
      <c r="O13" s="525">
        <v>1.5971999793380005</v>
      </c>
      <c r="P13" s="526">
        <v>0.72460139513213573</v>
      </c>
      <c r="Q13" s="526">
        <v>0.72460139513213573</v>
      </c>
      <c r="R13" s="526">
        <v>0.72333333333333338</v>
      </c>
      <c r="S13" s="527">
        <v>0.67952380952380964</v>
      </c>
      <c r="T13" s="527"/>
      <c r="U13" s="524" t="s">
        <v>1156</v>
      </c>
      <c r="V13" s="525">
        <v>1.9462699999999999</v>
      </c>
      <c r="W13" s="525">
        <v>2.7003379999999999</v>
      </c>
      <c r="X13" s="525">
        <v>2.7003379999999999</v>
      </c>
      <c r="Y13" s="526">
        <v>1.810567</v>
      </c>
      <c r="Z13" s="526">
        <v>2.5211709999999998</v>
      </c>
      <c r="AA13" s="526">
        <v>2.521172</v>
      </c>
      <c r="AB13" s="527">
        <v>1.8561443214285711</v>
      </c>
      <c r="AD13" s="524" t="s">
        <v>1507</v>
      </c>
      <c r="AE13" s="528" t="s">
        <v>1508</v>
      </c>
      <c r="AF13" s="524" t="str">
        <f>AD13</f>
        <v>IE</v>
      </c>
      <c r="AG13" s="529">
        <v>72.5</v>
      </c>
      <c r="AH13" s="529">
        <f t="shared" si="0"/>
        <v>60.301724137931032</v>
      </c>
    </row>
    <row r="14" spans="1:34" x14ac:dyDescent="0.25">
      <c r="L14" s="524" t="s">
        <v>1327</v>
      </c>
      <c r="M14" s="525">
        <v>1.6004379575780003</v>
      </c>
      <c r="N14" s="525">
        <v>1.6004379575780003</v>
      </c>
      <c r="O14" s="525">
        <v>1.6004379575780003</v>
      </c>
      <c r="P14" s="526">
        <v>0.71980297302081142</v>
      </c>
      <c r="Q14" s="526">
        <v>0.71980297302081142</v>
      </c>
      <c r="R14" s="526">
        <v>0.72</v>
      </c>
      <c r="S14" s="527">
        <v>0.67952380952380964</v>
      </c>
      <c r="T14" s="527"/>
      <c r="U14" s="524" t="s">
        <v>1315</v>
      </c>
      <c r="V14" s="525">
        <v>1.4409879999999999</v>
      </c>
      <c r="W14" s="525">
        <v>1.5697749999999999</v>
      </c>
      <c r="X14" s="525">
        <v>2.546468</v>
      </c>
      <c r="Y14" s="526">
        <v>1.3711850000000001</v>
      </c>
      <c r="Z14" s="526">
        <v>1.494272</v>
      </c>
      <c r="AA14" s="526">
        <v>2.430237</v>
      </c>
      <c r="AB14" s="527">
        <v>1.8561443214285711</v>
      </c>
      <c r="AD14" s="524" t="s">
        <v>1311</v>
      </c>
      <c r="AE14" s="528" t="s">
        <v>1509</v>
      </c>
      <c r="AF14" s="524" t="s">
        <v>1510</v>
      </c>
      <c r="AG14" s="529">
        <v>72.5</v>
      </c>
      <c r="AH14" s="529">
        <f t="shared" si="0"/>
        <v>60.301724137931032</v>
      </c>
    </row>
    <row r="15" spans="1:34" x14ac:dyDescent="0.25">
      <c r="L15" s="524" t="s">
        <v>1498</v>
      </c>
      <c r="M15" s="525">
        <v>2.0000000028479996</v>
      </c>
      <c r="N15" s="525">
        <v>2.0000000028479996</v>
      </c>
      <c r="O15" s="525">
        <v>2.0000000028479996</v>
      </c>
      <c r="P15" s="526">
        <v>0.70999999898896027</v>
      </c>
      <c r="Q15" s="526">
        <v>0.70999999898896027</v>
      </c>
      <c r="R15" s="526">
        <v>0.71000000000000008</v>
      </c>
      <c r="S15" s="527">
        <v>0.67952380952380964</v>
      </c>
      <c r="T15" s="527"/>
      <c r="U15" s="524" t="s">
        <v>1253</v>
      </c>
      <c r="V15" s="525">
        <v>1.3596250000000001</v>
      </c>
      <c r="W15" s="525">
        <v>1.668782</v>
      </c>
      <c r="X15" s="525">
        <v>2.3203640000000001</v>
      </c>
      <c r="Y15" s="526">
        <v>1.2332270000000001</v>
      </c>
      <c r="Z15" s="526">
        <v>1.5230520000000001</v>
      </c>
      <c r="AA15" s="526">
        <v>2.1319970000000001</v>
      </c>
      <c r="AB15" s="527">
        <v>1.8561443214285711</v>
      </c>
      <c r="AD15" s="524" t="s">
        <v>1511</v>
      </c>
      <c r="AE15" s="528" t="s">
        <v>1512</v>
      </c>
      <c r="AF15" s="524" t="str">
        <f>AD15</f>
        <v>DE</v>
      </c>
      <c r="AG15" s="529">
        <v>70</v>
      </c>
      <c r="AH15" s="529">
        <f t="shared" si="0"/>
        <v>60.301724137931032</v>
      </c>
    </row>
    <row r="16" spans="1:34" x14ac:dyDescent="0.25">
      <c r="A16" s="511" t="s">
        <v>1595</v>
      </c>
      <c r="B16" s="591"/>
      <c r="C16" s="591"/>
      <c r="D16" s="591"/>
      <c r="E16" s="591"/>
      <c r="F16" s="591"/>
      <c r="G16" s="591"/>
      <c r="H16" s="591"/>
      <c r="L16" s="524" t="s">
        <v>1318</v>
      </c>
      <c r="M16" s="525">
        <v>1.3995616635480004</v>
      </c>
      <c r="N16" s="525">
        <v>1.3995616635480004</v>
      </c>
      <c r="O16" s="525">
        <v>1.3995616635480004</v>
      </c>
      <c r="P16" s="526">
        <v>0.7035536141869293</v>
      </c>
      <c r="Q16" s="526">
        <v>0.7035536141869293</v>
      </c>
      <c r="R16" s="526">
        <v>0.70333333333333337</v>
      </c>
      <c r="S16" s="527">
        <v>0.67952380952380964</v>
      </c>
      <c r="T16" s="527"/>
      <c r="U16" s="524" t="s">
        <v>1319</v>
      </c>
      <c r="V16" s="525">
        <v>1.3316269999999999</v>
      </c>
      <c r="W16" s="525">
        <v>2.2037140000000002</v>
      </c>
      <c r="X16" s="525">
        <v>2.4121589999999999</v>
      </c>
      <c r="Y16" s="526">
        <v>1.058414</v>
      </c>
      <c r="Z16" s="526">
        <v>1.8186880000000001</v>
      </c>
      <c r="AA16" s="526">
        <v>2.001884</v>
      </c>
      <c r="AB16" s="527">
        <v>1.8561443214285711</v>
      </c>
      <c r="AD16" s="524" t="s">
        <v>1317</v>
      </c>
      <c r="AE16" s="528" t="s">
        <v>1513</v>
      </c>
      <c r="AF16" s="524" t="str">
        <f t="shared" ref="AF16:AF23" si="2">AD16</f>
        <v>SE</v>
      </c>
      <c r="AG16" s="529">
        <v>67.5</v>
      </c>
      <c r="AH16" s="529">
        <f t="shared" si="0"/>
        <v>60.301724137931032</v>
      </c>
    </row>
    <row r="17" spans="1:34" x14ac:dyDescent="0.25">
      <c r="L17" s="524" t="s">
        <v>1516</v>
      </c>
      <c r="M17" s="525">
        <v>0.99895224654800063</v>
      </c>
      <c r="N17" s="525">
        <v>1.5971999793380005</v>
      </c>
      <c r="O17" s="525">
        <v>2.0000000028479996</v>
      </c>
      <c r="P17" s="526">
        <v>0.34999999950159999</v>
      </c>
      <c r="Q17" s="526">
        <v>0.55999999920256005</v>
      </c>
      <c r="R17" s="526">
        <v>0.7</v>
      </c>
      <c r="S17" s="527">
        <v>0.67952380952380964</v>
      </c>
      <c r="T17" s="527"/>
      <c r="U17" s="524" t="s">
        <v>1507</v>
      </c>
      <c r="V17" s="525">
        <v>2.2087680000000001</v>
      </c>
      <c r="W17" s="525">
        <v>2.2087680000000001</v>
      </c>
      <c r="X17" s="525">
        <v>2.073706</v>
      </c>
      <c r="Y17" s="526">
        <v>2.078004</v>
      </c>
      <c r="Z17" s="526">
        <v>2.078004</v>
      </c>
      <c r="AA17" s="526">
        <v>1.948275</v>
      </c>
      <c r="AB17" s="527">
        <v>1.8561443214285711</v>
      </c>
      <c r="AD17" s="524" t="s">
        <v>1156</v>
      </c>
      <c r="AE17" s="528" t="s">
        <v>1514</v>
      </c>
      <c r="AF17" s="524" t="str">
        <f t="shared" si="2"/>
        <v>SK</v>
      </c>
      <c r="AG17" s="529">
        <v>67.5</v>
      </c>
      <c r="AH17" s="529">
        <f t="shared" si="0"/>
        <v>60.301724137931032</v>
      </c>
    </row>
    <row r="18" spans="1:34" x14ac:dyDescent="0.25">
      <c r="L18" s="524" t="s">
        <v>1521</v>
      </c>
      <c r="M18" s="525">
        <v>1.3995616635480004</v>
      </c>
      <c r="N18" s="525">
        <v>1.7980762733680005</v>
      </c>
      <c r="O18" s="525">
        <v>1.7980762733680005</v>
      </c>
      <c r="P18" s="526">
        <v>0.53724083583538584</v>
      </c>
      <c r="Q18" s="526">
        <v>0.69073821750263875</v>
      </c>
      <c r="R18" s="526">
        <v>0.69000000000000006</v>
      </c>
      <c r="S18" s="527">
        <v>0.67952380952380964</v>
      </c>
      <c r="T18" s="527"/>
      <c r="U18" s="524" t="s">
        <v>1500</v>
      </c>
      <c r="V18" s="525">
        <v>-0.99110900000000002</v>
      </c>
      <c r="W18" s="525">
        <v>1.4002920000000001</v>
      </c>
      <c r="X18" s="525">
        <v>1.4002920000000001</v>
      </c>
      <c r="Y18" s="526">
        <v>-0.95874199999999998</v>
      </c>
      <c r="Z18" s="526">
        <v>1.922237</v>
      </c>
      <c r="AA18" s="526">
        <v>1.9222379999999999</v>
      </c>
      <c r="AB18" s="527">
        <v>1.8561443214285711</v>
      </c>
      <c r="AD18" s="524" t="s">
        <v>1320</v>
      </c>
      <c r="AE18" s="528" t="s">
        <v>1515</v>
      </c>
      <c r="AF18" s="524" t="str">
        <f t="shared" si="2"/>
        <v>FI</v>
      </c>
      <c r="AG18" s="529">
        <v>61.25</v>
      </c>
      <c r="AH18" s="529">
        <f t="shared" si="0"/>
        <v>60.301724137931032</v>
      </c>
    </row>
    <row r="19" spans="1:34" x14ac:dyDescent="0.25">
      <c r="L19" s="524" t="s">
        <v>1517</v>
      </c>
      <c r="M19" s="525">
        <v>1.4027996417880004</v>
      </c>
      <c r="N19" s="525">
        <v>1.4027996417880004</v>
      </c>
      <c r="O19" s="525">
        <v>1.4027996417880004</v>
      </c>
      <c r="P19" s="526">
        <v>0.63872271799126179</v>
      </c>
      <c r="Q19" s="526">
        <v>0.63872271799126179</v>
      </c>
      <c r="R19" s="526">
        <v>0.64</v>
      </c>
      <c r="S19" s="527">
        <v>0.67952380952380964</v>
      </c>
      <c r="T19" s="527"/>
      <c r="U19" s="524" t="s">
        <v>1254</v>
      </c>
      <c r="V19" s="525">
        <v>-0.295873</v>
      </c>
      <c r="W19" s="525">
        <v>1.6696949999999999</v>
      </c>
      <c r="X19" s="525">
        <v>1.7515909999999999</v>
      </c>
      <c r="Y19" s="526">
        <v>-0.23230400000000001</v>
      </c>
      <c r="Z19" s="526">
        <v>1.820238</v>
      </c>
      <c r="AA19" s="526">
        <v>1.9059999999999999</v>
      </c>
      <c r="AB19" s="527">
        <v>1.8561443214285711</v>
      </c>
      <c r="AD19" s="524" t="s">
        <v>1516</v>
      </c>
      <c r="AE19" s="528" t="s">
        <v>1497</v>
      </c>
      <c r="AF19" s="524" t="str">
        <f t="shared" si="2"/>
        <v>CY</v>
      </c>
      <c r="AG19" s="529">
        <v>60</v>
      </c>
      <c r="AH19" s="529">
        <f t="shared" si="0"/>
        <v>60.301724137931032</v>
      </c>
    </row>
    <row r="20" spans="1:34" x14ac:dyDescent="0.25">
      <c r="L20" s="524" t="s">
        <v>1315</v>
      </c>
      <c r="M20" s="525">
        <v>1.4007048346080009</v>
      </c>
      <c r="N20" s="525">
        <v>1.4007048346080009</v>
      </c>
      <c r="O20" s="525">
        <v>1.4007048346080009</v>
      </c>
      <c r="P20" s="526">
        <v>0.63967795202959599</v>
      </c>
      <c r="Q20" s="526">
        <v>0.63967795202959599</v>
      </c>
      <c r="R20" s="526">
        <v>0.64</v>
      </c>
      <c r="S20" s="527">
        <v>0.67952380952380964</v>
      </c>
      <c r="T20" s="527"/>
      <c r="U20" s="524" t="s">
        <v>1525</v>
      </c>
      <c r="V20" s="525">
        <v>1.0770489999999999</v>
      </c>
      <c r="W20" s="525">
        <v>1.6180890000000001</v>
      </c>
      <c r="X20" s="525">
        <v>1.6180890000000001</v>
      </c>
      <c r="Y20" s="526">
        <v>1.0394159999999999</v>
      </c>
      <c r="Z20" s="526">
        <v>1.5624629999999999</v>
      </c>
      <c r="AA20" s="526">
        <v>1.5624629999999999</v>
      </c>
      <c r="AB20" s="527">
        <v>1.8561443214285711</v>
      </c>
      <c r="AD20" s="524" t="s">
        <v>1517</v>
      </c>
      <c r="AE20" s="528" t="s">
        <v>1518</v>
      </c>
      <c r="AF20" s="524" t="str">
        <f t="shared" si="2"/>
        <v>HR</v>
      </c>
      <c r="AG20" s="529">
        <v>55</v>
      </c>
      <c r="AH20" s="529">
        <f t="shared" si="0"/>
        <v>60.301724137931032</v>
      </c>
    </row>
    <row r="21" spans="1:34" x14ac:dyDescent="0.25">
      <c r="L21" s="524" t="s">
        <v>1511</v>
      </c>
      <c r="M21" s="525">
        <v>1.3952762498580009</v>
      </c>
      <c r="N21" s="525">
        <v>1.3952762498580009</v>
      </c>
      <c r="O21" s="525">
        <v>1.3952762498580009</v>
      </c>
      <c r="P21" s="526">
        <v>0.63547750257836311</v>
      </c>
      <c r="Q21" s="526">
        <v>0.63547750257836311</v>
      </c>
      <c r="R21" s="526">
        <v>0.6333333333333333</v>
      </c>
      <c r="S21" s="527">
        <v>0.67952380952380964</v>
      </c>
      <c r="T21" s="527"/>
      <c r="U21" s="524" t="s">
        <v>1318</v>
      </c>
      <c r="V21" s="525">
        <v>-6.0976000000000002E-2</v>
      </c>
      <c r="W21" s="525">
        <v>1.26295</v>
      </c>
      <c r="X21" s="525">
        <v>1.26295</v>
      </c>
      <c r="Y21" s="526">
        <v>7.1423E-2</v>
      </c>
      <c r="Z21" s="526">
        <v>1.5391729999999999</v>
      </c>
      <c r="AA21" s="526">
        <v>1.5391729999999999</v>
      </c>
      <c r="AB21" s="527">
        <v>1.8561443214285711</v>
      </c>
      <c r="AD21" s="524" t="s">
        <v>1327</v>
      </c>
      <c r="AE21" s="528" t="s">
        <v>1519</v>
      </c>
      <c r="AF21" s="524" t="str">
        <f t="shared" si="2"/>
        <v>EE</v>
      </c>
      <c r="AG21" s="529">
        <v>52.5</v>
      </c>
      <c r="AH21" s="529">
        <f t="shared" si="0"/>
        <v>60.301724137931032</v>
      </c>
    </row>
    <row r="22" spans="1:34" x14ac:dyDescent="0.25">
      <c r="L22" s="524" t="s">
        <v>1525</v>
      </c>
      <c r="M22" s="525">
        <v>1.7991237088179999</v>
      </c>
      <c r="N22" s="525">
        <v>1.7991237088179999</v>
      </c>
      <c r="O22" s="525">
        <v>1.7991237088179999</v>
      </c>
      <c r="P22" s="526">
        <v>0.61696702375694612</v>
      </c>
      <c r="Q22" s="526">
        <v>0.61696702375694612</v>
      </c>
      <c r="R22" s="526">
        <v>0.6166666666666667</v>
      </c>
      <c r="S22" s="527">
        <v>0.67952380952380964</v>
      </c>
      <c r="T22" s="527"/>
      <c r="U22" s="524" t="s">
        <v>1317</v>
      </c>
      <c r="V22" s="525">
        <v>1.934259</v>
      </c>
      <c r="W22" s="525">
        <v>1.934259</v>
      </c>
      <c r="X22" s="525">
        <v>1.934259</v>
      </c>
      <c r="Y22" s="526">
        <v>1.385213</v>
      </c>
      <c r="Z22" s="526">
        <v>1.385213</v>
      </c>
      <c r="AA22" s="526">
        <v>1.385213</v>
      </c>
      <c r="AB22" s="527">
        <v>1.8561443214285711</v>
      </c>
      <c r="AD22" s="524" t="s">
        <v>1312</v>
      </c>
      <c r="AE22" s="528" t="s">
        <v>1520</v>
      </c>
      <c r="AF22" s="524" t="str">
        <f t="shared" si="2"/>
        <v>FR</v>
      </c>
      <c r="AG22" s="529">
        <v>52.5</v>
      </c>
      <c r="AH22" s="529">
        <f t="shared" si="0"/>
        <v>60.301724137931032</v>
      </c>
    </row>
    <row r="23" spans="1:34" x14ac:dyDescent="0.25">
      <c r="L23" s="524" t="s">
        <v>1319</v>
      </c>
      <c r="M23" s="525">
        <v>0.40060941699999986</v>
      </c>
      <c r="N23" s="525">
        <v>1.6004379575780003</v>
      </c>
      <c r="O23" s="525">
        <v>1.6004379575780003</v>
      </c>
      <c r="P23" s="526">
        <v>0.14745963683412461</v>
      </c>
      <c r="Q23" s="526">
        <v>0.58983854733649832</v>
      </c>
      <c r="R23" s="526">
        <v>0.59000000000000008</v>
      </c>
      <c r="S23" s="527">
        <v>0.67952380952380964</v>
      </c>
      <c r="T23" s="527"/>
      <c r="U23" s="524" t="s">
        <v>1320</v>
      </c>
      <c r="V23" s="525">
        <v>1.64296</v>
      </c>
      <c r="W23" s="525">
        <v>1.6089549999999999</v>
      </c>
      <c r="X23" s="525">
        <v>1.6089549999999999</v>
      </c>
      <c r="Y23" s="526">
        <v>1.3704890000000001</v>
      </c>
      <c r="Z23" s="526">
        <v>1.3405260000000001</v>
      </c>
      <c r="AA23" s="526">
        <v>1.3405260000000001</v>
      </c>
      <c r="AB23" s="527">
        <v>1.8561443214285711</v>
      </c>
      <c r="AD23" s="524" t="s">
        <v>1521</v>
      </c>
      <c r="AE23" s="528" t="s">
        <v>1522</v>
      </c>
      <c r="AF23" s="524" t="str">
        <f t="shared" si="2"/>
        <v>LT</v>
      </c>
      <c r="AG23" s="529">
        <v>51.25</v>
      </c>
      <c r="AH23" s="529">
        <f t="shared" si="0"/>
        <v>60.301724137931032</v>
      </c>
    </row>
    <row r="24" spans="1:34" x14ac:dyDescent="0.25">
      <c r="L24" s="524" t="s">
        <v>1320</v>
      </c>
      <c r="M24" s="525">
        <v>1.4016568538739991</v>
      </c>
      <c r="N24" s="525">
        <v>1.3995616635480004</v>
      </c>
      <c r="O24" s="525">
        <v>1.5971999793380005</v>
      </c>
      <c r="P24" s="526">
        <v>0.50254612888196504</v>
      </c>
      <c r="Q24" s="526">
        <v>0.50254612888196504</v>
      </c>
      <c r="R24" s="526">
        <v>0.57333333333333336</v>
      </c>
      <c r="S24" s="527">
        <v>0.67952380952380964</v>
      </c>
      <c r="T24" s="527"/>
      <c r="U24" s="524" t="s">
        <v>1327</v>
      </c>
      <c r="V24" s="525">
        <v>0.62395999999999996</v>
      </c>
      <c r="W24" s="525">
        <v>1.1397839999999999</v>
      </c>
      <c r="X24" s="525">
        <v>1.1397839999999999</v>
      </c>
      <c r="Y24" s="526">
        <v>0.72249099999999999</v>
      </c>
      <c r="Z24" s="526">
        <v>1.2593639999999999</v>
      </c>
      <c r="AA24" s="526">
        <v>1.2593639999999999</v>
      </c>
      <c r="AB24" s="527">
        <v>1.8561443214285711</v>
      </c>
      <c r="AD24" s="524" t="s">
        <v>1319</v>
      </c>
      <c r="AE24" s="528" t="s">
        <v>1523</v>
      </c>
      <c r="AF24" s="524" t="s">
        <v>1524</v>
      </c>
      <c r="AG24" s="529">
        <v>48.75</v>
      </c>
      <c r="AH24" s="529">
        <f t="shared" si="0"/>
        <v>60.301724137931032</v>
      </c>
    </row>
    <row r="25" spans="1:34" x14ac:dyDescent="0.25">
      <c r="L25" s="524" t="s">
        <v>1507</v>
      </c>
      <c r="M25" s="525">
        <v>1.1998285405780007</v>
      </c>
      <c r="N25" s="525">
        <v>1.1998285405780007</v>
      </c>
      <c r="O25" s="525">
        <v>1.1998285405780007</v>
      </c>
      <c r="P25" s="526">
        <v>0.57341526454151992</v>
      </c>
      <c r="Q25" s="526">
        <v>0.57341526454151992</v>
      </c>
      <c r="R25" s="526">
        <v>0.57333333333333336</v>
      </c>
      <c r="S25" s="527">
        <v>0.67952380952380964</v>
      </c>
      <c r="T25" s="527"/>
      <c r="U25" s="524" t="s">
        <v>1516</v>
      </c>
      <c r="V25" s="525">
        <v>0.26411400000000002</v>
      </c>
      <c r="W25" s="525">
        <v>0.49666700000000003</v>
      </c>
      <c r="X25" s="525">
        <v>0.49666700000000003</v>
      </c>
      <c r="Y25" s="526">
        <v>0.65100899999999995</v>
      </c>
      <c r="Z25" s="526">
        <v>0.94910700000000003</v>
      </c>
      <c r="AA25" s="526">
        <v>0.94910600000000001</v>
      </c>
      <c r="AB25" s="527">
        <v>1.8561443214285711</v>
      </c>
      <c r="AD25" s="524" t="s">
        <v>1525</v>
      </c>
      <c r="AE25" s="528" t="s">
        <v>1526</v>
      </c>
      <c r="AF25" s="524" t="s">
        <v>1527</v>
      </c>
      <c r="AG25" s="529">
        <v>47.5</v>
      </c>
      <c r="AH25" s="529">
        <f t="shared" si="0"/>
        <v>60.301724137931032</v>
      </c>
    </row>
    <row r="26" spans="1:34" x14ac:dyDescent="0.25">
      <c r="L26" s="524" t="s">
        <v>1156</v>
      </c>
      <c r="M26" s="525">
        <v>1.1987811051280015</v>
      </c>
      <c r="N26" s="525">
        <v>1.1987811051280015</v>
      </c>
      <c r="O26" s="525">
        <v>1.1987811051280015</v>
      </c>
      <c r="P26" s="526">
        <v>0.55055922818330338</v>
      </c>
      <c r="Q26" s="526">
        <v>0.55055922818330338</v>
      </c>
      <c r="R26" s="526">
        <v>0.55000000000000004</v>
      </c>
      <c r="S26" s="527">
        <v>0.67952380952380964</v>
      </c>
      <c r="T26" s="527"/>
      <c r="U26" s="524" t="s">
        <v>1498</v>
      </c>
      <c r="V26" s="525">
        <v>0.63156699999999999</v>
      </c>
      <c r="W26" s="525">
        <v>0.73398600000000003</v>
      </c>
      <c r="X26" s="525">
        <v>0.73398600000000003</v>
      </c>
      <c r="Y26" s="526">
        <v>0.66451000000000005</v>
      </c>
      <c r="Z26" s="526">
        <v>0.76706200000000002</v>
      </c>
      <c r="AA26" s="526">
        <v>0.76706200000000002</v>
      </c>
      <c r="AB26" s="527">
        <v>1.8561443214285711</v>
      </c>
      <c r="AD26" s="524" t="s">
        <v>1318</v>
      </c>
      <c r="AE26" s="528" t="s">
        <v>1528</v>
      </c>
      <c r="AF26" s="524" t="s">
        <v>1529</v>
      </c>
      <c r="AG26" s="529">
        <v>42.5</v>
      </c>
      <c r="AH26" s="529">
        <f t="shared" si="0"/>
        <v>60.301724137931032</v>
      </c>
    </row>
    <row r="27" spans="1:34" x14ac:dyDescent="0.25">
      <c r="L27" s="524" t="s">
        <v>1322</v>
      </c>
      <c r="M27" s="525">
        <v>1.1976379340680008</v>
      </c>
      <c r="N27" s="525">
        <v>1.1976379340680008</v>
      </c>
      <c r="O27" s="525">
        <v>1.1976379340680008</v>
      </c>
      <c r="P27" s="526">
        <v>0.53438521091772762</v>
      </c>
      <c r="Q27" s="526">
        <v>0.53438521091772762</v>
      </c>
      <c r="R27" s="526">
        <v>0.53333333333333344</v>
      </c>
      <c r="S27" s="527">
        <v>0.67952380952380964</v>
      </c>
      <c r="T27" s="527"/>
      <c r="U27" s="524" t="s">
        <v>1494</v>
      </c>
      <c r="V27" s="525">
        <v>1.175198</v>
      </c>
      <c r="W27" s="525">
        <v>1.262122</v>
      </c>
      <c r="X27" s="525">
        <v>0.58348100000000003</v>
      </c>
      <c r="Y27" s="526">
        <v>1.0863529999999999</v>
      </c>
      <c r="Z27" s="526">
        <v>1.1684140000000001</v>
      </c>
      <c r="AA27" s="526">
        <v>0.52774600000000005</v>
      </c>
      <c r="AB27" s="527">
        <v>1.8561443214285711</v>
      </c>
      <c r="AD27" s="524" t="s">
        <v>1530</v>
      </c>
      <c r="AE27" s="528" t="s">
        <v>1531</v>
      </c>
      <c r="AF27" s="524" t="str">
        <f>AD27</f>
        <v>LV</v>
      </c>
      <c r="AG27" s="529">
        <v>41.25</v>
      </c>
      <c r="AH27" s="529">
        <f t="shared" si="0"/>
        <v>60.301724137931032</v>
      </c>
    </row>
    <row r="28" spans="1:34" x14ac:dyDescent="0.25">
      <c r="A28" s="577" t="s">
        <v>1596</v>
      </c>
      <c r="B28" s="592"/>
      <c r="C28" s="592"/>
      <c r="D28" s="592"/>
      <c r="E28" s="592"/>
      <c r="F28" s="592"/>
      <c r="G28" s="592"/>
      <c r="H28" s="592"/>
      <c r="L28" s="524" t="s">
        <v>1316</v>
      </c>
      <c r="M28" s="525">
        <v>1.8001714636939992</v>
      </c>
      <c r="N28" s="525">
        <v>1.8001714636939992</v>
      </c>
      <c r="O28" s="525">
        <v>1.8001714636939992</v>
      </c>
      <c r="P28" s="526">
        <v>0.51995047076199241</v>
      </c>
      <c r="Q28" s="526">
        <v>0.51995047076199241</v>
      </c>
      <c r="R28" s="526">
        <v>0.52</v>
      </c>
      <c r="S28" s="527">
        <v>0.67952380952380964</v>
      </c>
      <c r="T28" s="527"/>
      <c r="U28" s="524" t="s">
        <v>1316</v>
      </c>
      <c r="V28" s="525">
        <v>0.57726699999999997</v>
      </c>
      <c r="W28" s="525">
        <v>0.57726699999999997</v>
      </c>
      <c r="X28" s="525">
        <v>0.54890399999999995</v>
      </c>
      <c r="Y28" s="526">
        <v>0.51413399999999998</v>
      </c>
      <c r="Z28" s="526">
        <v>0.51413399999999998</v>
      </c>
      <c r="AA28" s="526">
        <v>0.48717500000000002</v>
      </c>
      <c r="AB28" s="527">
        <v>1.8561443214285711</v>
      </c>
      <c r="AD28" s="524" t="s">
        <v>1318</v>
      </c>
      <c r="AE28" s="528" t="s">
        <v>1532</v>
      </c>
      <c r="AF28" s="524" t="s">
        <v>1533</v>
      </c>
      <c r="AG28" s="529">
        <v>40</v>
      </c>
      <c r="AH28" s="529">
        <f t="shared" si="0"/>
        <v>60.301724137931032</v>
      </c>
    </row>
    <row r="29" spans="1:34" x14ac:dyDescent="0.25">
      <c r="L29" s="524" t="s">
        <v>1253</v>
      </c>
      <c r="M29" s="525">
        <v>1.0021902247880008</v>
      </c>
      <c r="N29" s="525">
        <v>1.0021902247880008</v>
      </c>
      <c r="O29" s="525">
        <v>1.0021902247880008</v>
      </c>
      <c r="P29" s="526">
        <v>0.4323863101189187</v>
      </c>
      <c r="Q29" s="526">
        <v>0.4323863101189187</v>
      </c>
      <c r="R29" s="526">
        <v>0.43333333333333335</v>
      </c>
      <c r="S29" s="527">
        <v>0.67952380952380964</v>
      </c>
      <c r="T29" s="527"/>
      <c r="U29" s="524" t="s">
        <v>1517</v>
      </c>
      <c r="V29" s="525">
        <v>1.4953719999999999</v>
      </c>
      <c r="W29" s="525">
        <v>1.4953719999999999</v>
      </c>
      <c r="X29" s="525">
        <v>0.42831399999999997</v>
      </c>
      <c r="Y29" s="526">
        <v>1.5501560000000001</v>
      </c>
      <c r="Z29" s="526">
        <v>1.5501560000000001</v>
      </c>
      <c r="AA29" s="526">
        <v>0.47335500000000003</v>
      </c>
      <c r="AB29" s="527">
        <v>1.8561443214285711</v>
      </c>
      <c r="AD29" s="524" t="s">
        <v>1254</v>
      </c>
      <c r="AE29" s="528" t="s">
        <v>1534</v>
      </c>
      <c r="AF29" s="524" t="str">
        <f>AD29</f>
        <v>HU</v>
      </c>
      <c r="AG29" s="529">
        <v>40</v>
      </c>
      <c r="AH29" s="529">
        <f t="shared" si="0"/>
        <v>60.301724137931032</v>
      </c>
    </row>
    <row r="30" spans="1:34" x14ac:dyDescent="0.25">
      <c r="L30" s="524" t="s">
        <v>1284</v>
      </c>
      <c r="M30" s="525">
        <v>1.400705217754</v>
      </c>
      <c r="N30" s="525">
        <v>1.400705217754</v>
      </c>
      <c r="O30" s="525">
        <v>1.400705217754</v>
      </c>
      <c r="P30" s="526">
        <v>0.42978350645776409</v>
      </c>
      <c r="Q30" s="526">
        <v>0.42978350645776409</v>
      </c>
      <c r="R30" s="526">
        <v>0.43000000000000005</v>
      </c>
      <c r="S30" s="527">
        <v>0.67952380952380964</v>
      </c>
      <c r="T30" s="527"/>
      <c r="U30" s="524" t="s">
        <v>1284</v>
      </c>
      <c r="V30" s="525">
        <v>-0.180004</v>
      </c>
      <c r="W30" s="525">
        <v>-0.180004</v>
      </c>
      <c r="X30" s="525">
        <v>-0.180004</v>
      </c>
      <c r="Y30" s="526">
        <v>-0.30553900000000001</v>
      </c>
      <c r="Z30" s="526">
        <v>-0.30553900000000001</v>
      </c>
      <c r="AA30" s="526">
        <v>-0.30553900000000001</v>
      </c>
      <c r="AB30" s="527">
        <v>1.8561443214285711</v>
      </c>
      <c r="AD30" s="524" t="s">
        <v>1316</v>
      </c>
      <c r="AE30" s="528" t="s">
        <v>1535</v>
      </c>
      <c r="AF30" s="524" t="s">
        <v>1536</v>
      </c>
      <c r="AG30" s="529">
        <v>27.5</v>
      </c>
      <c r="AH30" s="529">
        <f t="shared" si="0"/>
        <v>60.301724137931032</v>
      </c>
    </row>
    <row r="31" spans="1:34" x14ac:dyDescent="0.25">
      <c r="L31" s="524" t="s">
        <v>1254</v>
      </c>
      <c r="M31" s="525">
        <v>1.0043808312980005</v>
      </c>
      <c r="N31" s="525">
        <v>1.0043808312980005</v>
      </c>
      <c r="O31" s="525">
        <v>0.80245710181800112</v>
      </c>
      <c r="P31" s="526">
        <v>0.46523774602720896</v>
      </c>
      <c r="Q31" s="526">
        <v>0.46523774602720896</v>
      </c>
      <c r="R31" s="526">
        <v>0.37333333333333335</v>
      </c>
      <c r="S31" s="527">
        <v>0.67952380952380964</v>
      </c>
      <c r="T31" s="527"/>
      <c r="U31" s="524" t="s">
        <v>1322</v>
      </c>
      <c r="V31" s="525">
        <v>-0.81728599999999996</v>
      </c>
      <c r="W31" s="525">
        <v>-0.81728599999999996</v>
      </c>
      <c r="X31" s="525">
        <v>-0.99110900000000002</v>
      </c>
      <c r="Y31" s="526">
        <v>-0.95874199999999998</v>
      </c>
      <c r="Z31" s="526">
        <v>-0.95874199999999998</v>
      </c>
      <c r="AA31" s="526">
        <v>-0.95874199999999998</v>
      </c>
      <c r="AB31" s="527">
        <v>1.8561443214285711</v>
      </c>
      <c r="AD31" s="524" t="s">
        <v>1311</v>
      </c>
      <c r="AE31" s="528" t="s">
        <v>1537</v>
      </c>
      <c r="AF31" s="524" t="s">
        <v>1538</v>
      </c>
      <c r="AG31" s="529">
        <v>25</v>
      </c>
      <c r="AH31" s="529">
        <f t="shared" si="0"/>
        <v>60.301724137931032</v>
      </c>
    </row>
    <row r="32" spans="1:34" x14ac:dyDescent="0.25">
      <c r="L32" s="530"/>
      <c r="M32" s="527"/>
      <c r="N32" s="527"/>
      <c r="O32" s="527"/>
      <c r="P32" s="527"/>
      <c r="Q32" s="527"/>
      <c r="R32" s="531"/>
      <c r="S32" s="419"/>
      <c r="T32" s="419"/>
      <c r="U32" s="532"/>
      <c r="V32" s="527"/>
      <c r="W32" s="527"/>
      <c r="X32" s="527"/>
      <c r="Y32" s="527"/>
      <c r="Z32" s="527"/>
      <c r="AA32" s="526"/>
      <c r="AB32" s="419"/>
      <c r="AD32" s="524" t="s">
        <v>1322</v>
      </c>
      <c r="AE32" s="528" t="s">
        <v>1539</v>
      </c>
      <c r="AF32" s="524" t="s">
        <v>1322</v>
      </c>
      <c r="AG32" s="529">
        <v>21.25</v>
      </c>
      <c r="AH32" s="529">
        <f t="shared" si="0"/>
        <v>60.301724137931032</v>
      </c>
    </row>
    <row r="33" spans="12:34" x14ac:dyDescent="0.25"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D33" s="524" t="s">
        <v>1319</v>
      </c>
      <c r="AE33" s="528" t="s">
        <v>1540</v>
      </c>
      <c r="AF33" s="524"/>
      <c r="AG33" s="533" t="s">
        <v>1541</v>
      </c>
      <c r="AH33" s="534"/>
    </row>
    <row r="34" spans="12:34" x14ac:dyDescent="0.25"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D34" s="524" t="s">
        <v>1253</v>
      </c>
      <c r="AE34" s="528" t="s">
        <v>1542</v>
      </c>
      <c r="AF34" s="524"/>
      <c r="AG34" s="533" t="s">
        <v>1541</v>
      </c>
      <c r="AH34" s="534"/>
    </row>
    <row r="35" spans="12:34" x14ac:dyDescent="0.25">
      <c r="L35" s="530"/>
      <c r="M35" s="527"/>
      <c r="N35" s="419"/>
      <c r="O35" s="527"/>
      <c r="P35" s="527"/>
      <c r="Q35" s="527"/>
      <c r="R35" s="527"/>
      <c r="S35" s="419"/>
      <c r="T35" s="419"/>
      <c r="U35" s="532"/>
      <c r="V35" s="527"/>
      <c r="W35" s="419"/>
      <c r="X35" s="527"/>
      <c r="Y35" s="527"/>
      <c r="Z35" s="527"/>
      <c r="AA35" s="527"/>
      <c r="AB35" s="419"/>
      <c r="AD35" s="532"/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6"/>
  <dimension ref="B2:Q37"/>
  <sheetViews>
    <sheetView showGridLines="0" zoomScale="85" zoomScaleNormal="85" workbookViewId="0">
      <pane xSplit="2" ySplit="4" topLeftCell="C5" activePane="bottomRight" state="frozen"/>
      <selection activeCell="B1" sqref="B1"/>
      <selection pane="topRight" activeCell="C1" sqref="C1"/>
      <selection pane="bottomLeft" activeCell="B3" sqref="B3"/>
      <selection pane="bottomRight" activeCell="B21" sqref="B21"/>
    </sheetView>
  </sheetViews>
  <sheetFormatPr defaultRowHeight="13.5" x14ac:dyDescent="0.25"/>
  <cols>
    <col min="1" max="1" width="13.5703125" style="537" customWidth="1"/>
    <col min="2" max="2" width="53.140625" style="536" customWidth="1"/>
    <col min="3" max="3" width="10.28515625" style="536" hidden="1" customWidth="1"/>
    <col min="4" max="4" width="6.42578125" style="536" hidden="1" customWidth="1"/>
    <col min="5" max="5" width="7.85546875" style="536" hidden="1" customWidth="1"/>
    <col min="6" max="12" width="4.5703125" style="536" bestFit="1" customWidth="1"/>
    <col min="13" max="17" width="4.5703125" style="537" bestFit="1" customWidth="1"/>
    <col min="18" max="16384" width="9.140625" style="537"/>
  </cols>
  <sheetData>
    <row r="2" spans="2:17" x14ac:dyDescent="0.25">
      <c r="B2" s="535" t="s">
        <v>1588</v>
      </c>
    </row>
    <row r="3" spans="2:17" ht="17.25" customHeight="1" x14ac:dyDescent="0.25">
      <c r="B3" s="538"/>
      <c r="C3" s="539"/>
      <c r="D3" s="539"/>
      <c r="E3" s="539"/>
      <c r="F3" s="1005" t="s">
        <v>129</v>
      </c>
      <c r="G3" s="1005"/>
      <c r="H3" s="1005"/>
      <c r="I3" s="1005"/>
      <c r="J3" s="1005"/>
      <c r="K3" s="1005"/>
      <c r="L3" s="1006" t="s">
        <v>130</v>
      </c>
      <c r="M3" s="1006"/>
      <c r="N3" s="1006"/>
      <c r="O3" s="1006"/>
      <c r="P3" s="1006"/>
      <c r="Q3" s="1006"/>
    </row>
    <row r="4" spans="2:17" x14ac:dyDescent="0.25">
      <c r="B4" s="540" t="s">
        <v>131</v>
      </c>
      <c r="C4" s="540">
        <v>2012</v>
      </c>
      <c r="D4" s="540">
        <v>2013</v>
      </c>
      <c r="E4" s="540">
        <v>2014</v>
      </c>
      <c r="F4" s="540">
        <v>2015</v>
      </c>
      <c r="G4" s="540">
        <v>2016</v>
      </c>
      <c r="H4" s="540">
        <v>2017</v>
      </c>
      <c r="I4" s="540">
        <v>2018</v>
      </c>
      <c r="J4" s="540">
        <v>2019</v>
      </c>
      <c r="K4" s="541">
        <v>2020</v>
      </c>
      <c r="L4" s="540">
        <v>2015</v>
      </c>
      <c r="M4" s="540">
        <v>2016</v>
      </c>
      <c r="N4" s="540">
        <v>2017</v>
      </c>
      <c r="O4" s="540">
        <v>2018</v>
      </c>
      <c r="P4" s="540">
        <v>2019</v>
      </c>
      <c r="Q4" s="540">
        <v>2020</v>
      </c>
    </row>
    <row r="5" spans="2:17" x14ac:dyDescent="0.25">
      <c r="B5" s="542" t="s">
        <v>144</v>
      </c>
      <c r="C5" s="543"/>
      <c r="D5" s="544"/>
      <c r="E5" s="544"/>
      <c r="F5" s="544">
        <v>-41.746185000000004</v>
      </c>
      <c r="G5" s="544"/>
      <c r="H5" s="544"/>
      <c r="I5" s="544"/>
      <c r="J5" s="544"/>
      <c r="K5" s="545"/>
      <c r="L5" s="544">
        <f>F5-E5</f>
        <v>-41.746185000000004</v>
      </c>
      <c r="M5" s="543"/>
      <c r="N5" s="543"/>
      <c r="O5" s="543"/>
      <c r="P5" s="543"/>
      <c r="Q5" s="543"/>
    </row>
    <row r="6" spans="2:17" x14ac:dyDescent="0.25">
      <c r="B6" s="546" t="s">
        <v>145</v>
      </c>
      <c r="C6" s="547"/>
      <c r="D6" s="544"/>
      <c r="E6" s="548"/>
      <c r="F6" s="549">
        <v>-7.6</v>
      </c>
      <c r="G6" s="549"/>
      <c r="H6" s="549"/>
      <c r="I6" s="549"/>
      <c r="J6" s="549"/>
      <c r="K6" s="550"/>
      <c r="L6" s="549">
        <v>-7.6</v>
      </c>
      <c r="M6" s="543"/>
      <c r="N6" s="543"/>
      <c r="O6" s="543"/>
      <c r="P6" s="543"/>
      <c r="Q6" s="543"/>
    </row>
    <row r="7" spans="2:17" x14ac:dyDescent="0.25">
      <c r="B7" s="546" t="s">
        <v>132</v>
      </c>
      <c r="C7" s="547"/>
      <c r="D7" s="544"/>
      <c r="E7" s="548"/>
      <c r="F7" s="551">
        <v>123.38200000000001</v>
      </c>
      <c r="G7" s="549"/>
      <c r="H7" s="549"/>
      <c r="I7" s="549"/>
      <c r="J7" s="549"/>
      <c r="K7" s="550"/>
      <c r="L7" s="549">
        <f t="shared" ref="L7:L14" si="0">F7</f>
        <v>123.38200000000001</v>
      </c>
      <c r="M7" s="543"/>
      <c r="N7" s="543"/>
      <c r="O7" s="543"/>
      <c r="P7" s="543"/>
      <c r="Q7" s="543"/>
    </row>
    <row r="8" spans="2:17" x14ac:dyDescent="0.25">
      <c r="B8" s="546" t="s">
        <v>1405</v>
      </c>
      <c r="C8" s="547"/>
      <c r="D8" s="544"/>
      <c r="E8" s="548"/>
      <c r="F8" s="551">
        <f>54.2+2.24</f>
        <v>56.440000000000005</v>
      </c>
      <c r="G8" s="551"/>
      <c r="H8" s="551"/>
      <c r="I8" s="551"/>
      <c r="J8" s="551"/>
      <c r="K8" s="552"/>
      <c r="L8" s="551">
        <f t="shared" si="0"/>
        <v>56.440000000000005</v>
      </c>
      <c r="M8" s="543"/>
      <c r="N8" s="543"/>
      <c r="O8" s="543"/>
      <c r="P8" s="543"/>
      <c r="Q8" s="543"/>
    </row>
    <row r="9" spans="2:17" x14ac:dyDescent="0.25">
      <c r="B9" s="546" t="s">
        <v>133</v>
      </c>
      <c r="C9" s="547"/>
      <c r="D9" s="544"/>
      <c r="E9" s="548"/>
      <c r="F9" s="551">
        <v>47.4</v>
      </c>
      <c r="G9" s="549"/>
      <c r="H9" s="549"/>
      <c r="I9" s="549"/>
      <c r="J9" s="549"/>
      <c r="K9" s="550"/>
      <c r="L9" s="549">
        <f t="shared" si="0"/>
        <v>47.4</v>
      </c>
      <c r="M9" s="543"/>
      <c r="N9" s="543"/>
      <c r="O9" s="543"/>
      <c r="P9" s="543"/>
      <c r="Q9" s="543"/>
    </row>
    <row r="10" spans="2:17" x14ac:dyDescent="0.25">
      <c r="B10" s="546" t="s">
        <v>134</v>
      </c>
      <c r="C10" s="547"/>
      <c r="D10" s="544"/>
      <c r="E10" s="548"/>
      <c r="F10" s="551">
        <v>-2</v>
      </c>
      <c r="G10" s="549"/>
      <c r="H10" s="549"/>
      <c r="I10" s="549"/>
      <c r="J10" s="549"/>
      <c r="K10" s="550"/>
      <c r="L10" s="549">
        <f t="shared" si="0"/>
        <v>-2</v>
      </c>
      <c r="M10" s="543"/>
      <c r="N10" s="543"/>
      <c r="O10" s="543"/>
      <c r="P10" s="543"/>
      <c r="Q10" s="543"/>
    </row>
    <row r="11" spans="2:17" x14ac:dyDescent="0.25">
      <c r="B11" s="546" t="s">
        <v>135</v>
      </c>
      <c r="C11" s="547"/>
      <c r="D11" s="544"/>
      <c r="E11" s="548"/>
      <c r="F11" s="549">
        <v>12.286999999999999</v>
      </c>
      <c r="G11" s="549"/>
      <c r="H11" s="549"/>
      <c r="I11" s="549"/>
      <c r="J11" s="549"/>
      <c r="K11" s="550"/>
      <c r="L11" s="549">
        <f t="shared" si="0"/>
        <v>12.286999999999999</v>
      </c>
      <c r="M11" s="543"/>
      <c r="N11" s="543"/>
      <c r="O11" s="543"/>
      <c r="P11" s="543"/>
      <c r="Q11" s="543"/>
    </row>
    <row r="12" spans="2:17" x14ac:dyDescent="0.25">
      <c r="B12" s="546" t="s">
        <v>136</v>
      </c>
      <c r="C12" s="547"/>
      <c r="D12" s="544"/>
      <c r="E12" s="548"/>
      <c r="F12" s="553">
        <v>15.924997827432399</v>
      </c>
      <c r="G12" s="553"/>
      <c r="H12" s="553"/>
      <c r="I12" s="553"/>
      <c r="J12" s="553"/>
      <c r="K12" s="554"/>
      <c r="L12" s="549">
        <f t="shared" si="0"/>
        <v>15.924997827432399</v>
      </c>
      <c r="M12" s="549">
        <f>28.47-15.93</f>
        <v>12.54</v>
      </c>
      <c r="N12" s="543"/>
      <c r="O12" s="543"/>
      <c r="P12" s="543"/>
      <c r="Q12" s="543"/>
    </row>
    <row r="13" spans="2:17" x14ac:dyDescent="0.25">
      <c r="B13" s="546" t="s">
        <v>1406</v>
      </c>
      <c r="C13" s="547"/>
      <c r="D13" s="544"/>
      <c r="E13" s="548"/>
      <c r="F13" s="549">
        <v>-62.1</v>
      </c>
      <c r="G13" s="549">
        <v>-145.80000000000001</v>
      </c>
      <c r="H13" s="549">
        <v>-122.6</v>
      </c>
      <c r="I13" s="549">
        <v>-98.7</v>
      </c>
      <c r="J13" s="549">
        <v>-78.3</v>
      </c>
      <c r="K13" s="550">
        <v>-58</v>
      </c>
      <c r="L13" s="549">
        <f t="shared" si="0"/>
        <v>-62.1</v>
      </c>
      <c r="M13" s="544">
        <f>G13-F13</f>
        <v>-83.700000000000017</v>
      </c>
      <c r="N13" s="544">
        <f>H13-G13</f>
        <v>23.200000000000017</v>
      </c>
      <c r="O13" s="544">
        <f>I13-H13</f>
        <v>23.899999999999991</v>
      </c>
      <c r="P13" s="544">
        <f>J13-I13</f>
        <v>20.400000000000006</v>
      </c>
      <c r="Q13" s="544">
        <f>K13-J13</f>
        <v>20.299999999999997</v>
      </c>
    </row>
    <row r="14" spans="2:17" ht="27" x14ac:dyDescent="0.25">
      <c r="B14" s="546" t="s">
        <v>1407</v>
      </c>
      <c r="C14" s="547"/>
      <c r="D14" s="544"/>
      <c r="E14" s="548"/>
      <c r="F14" s="555">
        <v>-3.4</v>
      </c>
      <c r="G14" s="555">
        <v>3.4</v>
      </c>
      <c r="H14" s="553"/>
      <c r="I14" s="553"/>
      <c r="J14" s="553"/>
      <c r="K14" s="554"/>
      <c r="L14" s="549">
        <f t="shared" si="0"/>
        <v>-3.4</v>
      </c>
      <c r="M14" s="544">
        <f>G14-F14</f>
        <v>6.8</v>
      </c>
      <c r="N14" s="544">
        <f>H14-G14</f>
        <v>-3.4</v>
      </c>
      <c r="O14" s="544">
        <f>I14-H14</f>
        <v>0</v>
      </c>
      <c r="P14" s="543"/>
      <c r="Q14" s="543"/>
    </row>
    <row r="15" spans="2:17" x14ac:dyDescent="0.25">
      <c r="B15" s="546" t="s">
        <v>1408</v>
      </c>
      <c r="C15" s="547"/>
      <c r="D15" s="544"/>
      <c r="E15" s="548"/>
      <c r="F15" s="553"/>
      <c r="G15" s="553">
        <v>-76.900000000000006</v>
      </c>
      <c r="H15" s="553"/>
      <c r="I15" s="553"/>
      <c r="J15" s="553"/>
      <c r="K15" s="554"/>
      <c r="L15" s="549"/>
      <c r="M15" s="556">
        <f>G15</f>
        <v>-76.900000000000006</v>
      </c>
      <c r="N15" s="543"/>
      <c r="O15" s="543"/>
      <c r="P15" s="543"/>
      <c r="Q15" s="543"/>
    </row>
    <row r="16" spans="2:17" x14ac:dyDescent="0.25">
      <c r="B16" s="546" t="s">
        <v>1409</v>
      </c>
      <c r="C16" s="547"/>
      <c r="D16" s="544"/>
      <c r="E16" s="548"/>
      <c r="F16" s="553"/>
      <c r="G16" s="553">
        <f>6.65-1.4</f>
        <v>5.25</v>
      </c>
      <c r="H16" s="553">
        <f>8.95-1.9</f>
        <v>7.0499999999999989</v>
      </c>
      <c r="I16" s="553"/>
      <c r="J16" s="553"/>
      <c r="K16" s="554"/>
      <c r="L16" s="549"/>
      <c r="M16" s="556">
        <f>G16</f>
        <v>5.25</v>
      </c>
      <c r="N16" s="549">
        <f>H16-G16</f>
        <v>1.7999999999999989</v>
      </c>
      <c r="O16" s="543"/>
      <c r="P16" s="543"/>
      <c r="Q16" s="543"/>
    </row>
    <row r="17" spans="2:17" x14ac:dyDescent="0.25">
      <c r="B17" s="546" t="s">
        <v>1410</v>
      </c>
      <c r="C17" s="547"/>
      <c r="D17" s="544"/>
      <c r="E17" s="548"/>
      <c r="F17" s="553"/>
      <c r="G17" s="553"/>
      <c r="H17" s="553">
        <v>21.1</v>
      </c>
      <c r="I17" s="553"/>
      <c r="J17" s="553"/>
      <c r="K17" s="554"/>
      <c r="L17" s="549"/>
      <c r="M17" s="543"/>
      <c r="N17" s="556">
        <f>H17</f>
        <v>21.1</v>
      </c>
      <c r="O17" s="543"/>
      <c r="P17" s="543"/>
      <c r="Q17" s="543"/>
    </row>
    <row r="18" spans="2:17" x14ac:dyDescent="0.25">
      <c r="B18" s="546" t="s">
        <v>1411</v>
      </c>
      <c r="C18" s="547"/>
      <c r="D18" s="544"/>
      <c r="E18" s="548"/>
      <c r="F18" s="553"/>
      <c r="G18" s="553">
        <f>-9.48-1.81</f>
        <v>-11.290000000000001</v>
      </c>
      <c r="H18" s="553"/>
      <c r="I18" s="553"/>
      <c r="J18" s="553"/>
      <c r="K18" s="554"/>
      <c r="L18" s="549"/>
      <c r="M18" s="556">
        <f>G18</f>
        <v>-11.290000000000001</v>
      </c>
      <c r="N18" s="543"/>
      <c r="O18" s="543"/>
      <c r="P18" s="543"/>
      <c r="Q18" s="543"/>
    </row>
    <row r="19" spans="2:17" x14ac:dyDescent="0.25">
      <c r="B19" s="546" t="s">
        <v>1412</v>
      </c>
      <c r="C19" s="547"/>
      <c r="D19" s="544"/>
      <c r="E19" s="548"/>
      <c r="F19" s="549"/>
      <c r="G19" s="549"/>
      <c r="H19" s="549">
        <v>25.401499999999999</v>
      </c>
      <c r="I19" s="549"/>
      <c r="J19" s="549"/>
      <c r="K19" s="550"/>
      <c r="L19" s="549"/>
      <c r="M19" s="544"/>
      <c r="N19" s="544">
        <f>H19</f>
        <v>25.401499999999999</v>
      </c>
      <c r="O19" s="544"/>
      <c r="P19" s="544"/>
      <c r="Q19" s="544"/>
    </row>
    <row r="20" spans="2:17" x14ac:dyDescent="0.25">
      <c r="B20" s="546" t="s">
        <v>1413</v>
      </c>
      <c r="C20" s="547"/>
      <c r="D20" s="544"/>
      <c r="E20" s="548"/>
      <c r="F20" s="553"/>
      <c r="G20" s="553"/>
      <c r="H20" s="553">
        <v>-141</v>
      </c>
      <c r="I20" s="553"/>
      <c r="J20" s="553"/>
      <c r="K20" s="554"/>
      <c r="L20" s="549"/>
      <c r="M20" s="543"/>
      <c r="N20" s="553">
        <f>H20</f>
        <v>-141</v>
      </c>
      <c r="O20" s="543"/>
      <c r="P20" s="543"/>
      <c r="Q20" s="543"/>
    </row>
    <row r="21" spans="2:17" ht="27" x14ac:dyDescent="0.25">
      <c r="B21" s="546" t="s">
        <v>1414</v>
      </c>
      <c r="C21" s="547"/>
      <c r="D21" s="544"/>
      <c r="E21" s="548"/>
      <c r="F21" s="553"/>
      <c r="G21" s="553"/>
      <c r="H21" s="553">
        <v>91</v>
      </c>
      <c r="I21" s="553"/>
      <c r="J21" s="553">
        <v>52</v>
      </c>
      <c r="K21" s="554"/>
      <c r="L21" s="549"/>
      <c r="M21" s="543"/>
      <c r="N21" s="556">
        <f>H21</f>
        <v>91</v>
      </c>
      <c r="O21" s="543"/>
      <c r="P21" s="556">
        <f>J21-H21</f>
        <v>-39</v>
      </c>
      <c r="Q21" s="556"/>
    </row>
    <row r="22" spans="2:17" x14ac:dyDescent="0.25">
      <c r="B22" s="546" t="s">
        <v>1415</v>
      </c>
      <c r="C22" s="547"/>
      <c r="D22" s="544"/>
      <c r="E22" s="548"/>
      <c r="F22" s="553"/>
      <c r="G22" s="553"/>
      <c r="H22" s="553">
        <v>29.5</v>
      </c>
      <c r="I22" s="553"/>
      <c r="J22" s="553">
        <v>68.3</v>
      </c>
      <c r="K22" s="554"/>
      <c r="L22" s="549"/>
      <c r="M22" s="543"/>
      <c r="N22" s="553">
        <v>29.5</v>
      </c>
      <c r="O22" s="543"/>
      <c r="P22" s="553">
        <f>68.34-32.475</f>
        <v>35.865000000000002</v>
      </c>
      <c r="Q22" s="553"/>
    </row>
    <row r="23" spans="2:17" x14ac:dyDescent="0.25">
      <c r="B23" s="546" t="s">
        <v>1416</v>
      </c>
      <c r="C23" s="547"/>
      <c r="D23" s="544"/>
      <c r="E23" s="548"/>
      <c r="F23" s="553"/>
      <c r="G23" s="553"/>
      <c r="H23" s="553"/>
      <c r="I23" s="553"/>
      <c r="J23" s="553"/>
      <c r="K23" s="554"/>
      <c r="L23" s="549"/>
      <c r="M23" s="543"/>
      <c r="N23" s="556">
        <f>H23</f>
        <v>0</v>
      </c>
      <c r="O23" s="543"/>
      <c r="P23" s="553"/>
      <c r="Q23" s="553"/>
    </row>
    <row r="24" spans="2:17" x14ac:dyDescent="0.25">
      <c r="B24" s="546" t="s">
        <v>1417</v>
      </c>
      <c r="C24" s="547"/>
      <c r="D24" s="544"/>
      <c r="E24" s="548"/>
      <c r="F24" s="553"/>
      <c r="G24" s="553"/>
      <c r="H24" s="553"/>
      <c r="I24" s="553">
        <v>51</v>
      </c>
      <c r="J24" s="553"/>
      <c r="K24" s="554"/>
      <c r="L24" s="549"/>
      <c r="M24" s="543"/>
      <c r="N24" s="556"/>
      <c r="O24" s="543">
        <v>51</v>
      </c>
      <c r="P24" s="553"/>
      <c r="Q24" s="553"/>
    </row>
    <row r="25" spans="2:17" x14ac:dyDescent="0.25">
      <c r="B25" s="546" t="s">
        <v>1418</v>
      </c>
      <c r="C25" s="547"/>
      <c r="D25" s="544"/>
      <c r="E25" s="548"/>
      <c r="F25" s="553"/>
      <c r="G25" s="553"/>
      <c r="H25" s="553">
        <v>2.7</v>
      </c>
      <c r="I25" s="553"/>
      <c r="J25" s="553"/>
      <c r="K25" s="554"/>
      <c r="L25" s="549"/>
      <c r="M25" s="543"/>
      <c r="N25" s="553">
        <v>2.7</v>
      </c>
      <c r="O25" s="543"/>
      <c r="P25" s="553"/>
      <c r="Q25" s="553"/>
    </row>
    <row r="26" spans="2:17" ht="27" x14ac:dyDescent="0.25">
      <c r="B26" s="546" t="s">
        <v>1419</v>
      </c>
      <c r="C26" s="547"/>
      <c r="D26" s="544"/>
      <c r="E26" s="548"/>
      <c r="F26" s="553"/>
      <c r="G26" s="553"/>
      <c r="H26" s="553">
        <v>-4.5</v>
      </c>
      <c r="I26" s="553"/>
      <c r="J26" s="553"/>
      <c r="K26" s="554"/>
      <c r="L26" s="549"/>
      <c r="M26" s="543"/>
      <c r="N26" s="544">
        <v>-4.5</v>
      </c>
      <c r="O26" s="543"/>
      <c r="P26" s="543"/>
      <c r="Q26" s="543"/>
    </row>
    <row r="27" spans="2:17" x14ac:dyDescent="0.25">
      <c r="B27" s="546" t="s">
        <v>1420</v>
      </c>
      <c r="C27" s="547"/>
      <c r="D27" s="544"/>
      <c r="E27" s="548"/>
      <c r="F27" s="553"/>
      <c r="G27" s="553"/>
      <c r="H27" s="553">
        <f>17.9+20</f>
        <v>37.9</v>
      </c>
      <c r="I27" s="553"/>
      <c r="J27" s="553"/>
      <c r="K27" s="554"/>
      <c r="L27" s="549"/>
      <c r="M27" s="543"/>
      <c r="N27" s="556">
        <f>H27</f>
        <v>37.9</v>
      </c>
      <c r="O27" s="556"/>
      <c r="P27" s="543"/>
      <c r="Q27" s="543"/>
    </row>
    <row r="28" spans="2:17" x14ac:dyDescent="0.25">
      <c r="B28" s="546" t="s">
        <v>1421</v>
      </c>
      <c r="C28" s="547"/>
      <c r="D28" s="544"/>
      <c r="E28" s="548"/>
      <c r="F28" s="553"/>
      <c r="G28" s="553"/>
      <c r="H28" s="553">
        <v>-13.4</v>
      </c>
      <c r="I28" s="553">
        <v>-20.6</v>
      </c>
      <c r="J28" s="553"/>
      <c r="K28" s="554"/>
      <c r="L28" s="549"/>
      <c r="M28" s="543"/>
      <c r="N28" s="556">
        <f>H28</f>
        <v>-13.4</v>
      </c>
      <c r="O28" s="556">
        <f>I28-H28</f>
        <v>-7.2000000000000011</v>
      </c>
      <c r="P28" s="556"/>
      <c r="Q28" s="556"/>
    </row>
    <row r="29" spans="2:17" x14ac:dyDescent="0.25">
      <c r="B29" s="546" t="s">
        <v>1422</v>
      </c>
      <c r="C29" s="547"/>
      <c r="D29" s="544"/>
      <c r="E29" s="548"/>
      <c r="F29" s="553"/>
      <c r="G29" s="553"/>
      <c r="H29" s="553">
        <v>90.4</v>
      </c>
      <c r="I29" s="553">
        <v>76.5</v>
      </c>
      <c r="J29" s="553"/>
      <c r="K29" s="554"/>
      <c r="L29" s="549"/>
      <c r="M29" s="543"/>
      <c r="N29" s="556">
        <f>H29</f>
        <v>90.4</v>
      </c>
      <c r="O29" s="556">
        <f>I29-H29</f>
        <v>-13.900000000000006</v>
      </c>
      <c r="P29" s="556"/>
      <c r="Q29" s="556"/>
    </row>
    <row r="30" spans="2:17" x14ac:dyDescent="0.25">
      <c r="B30" s="546" t="s">
        <v>1423</v>
      </c>
      <c r="C30" s="547"/>
      <c r="D30" s="544"/>
      <c r="E30" s="548"/>
      <c r="F30" s="553"/>
      <c r="G30" s="553"/>
      <c r="H30" s="553">
        <v>67.150000000000006</v>
      </c>
      <c r="I30" s="553"/>
      <c r="J30" s="553"/>
      <c r="K30" s="554"/>
      <c r="L30" s="549"/>
      <c r="M30" s="543"/>
      <c r="N30" s="556">
        <f>H30</f>
        <v>67.150000000000006</v>
      </c>
      <c r="O30" s="556"/>
      <c r="P30" s="556"/>
      <c r="Q30" s="556"/>
    </row>
    <row r="31" spans="2:17" x14ac:dyDescent="0.25">
      <c r="B31" s="62" t="s">
        <v>1424</v>
      </c>
      <c r="C31" s="547"/>
      <c r="D31" s="544"/>
      <c r="E31" s="548"/>
      <c r="F31" s="553"/>
      <c r="G31" s="553"/>
      <c r="H31" s="553">
        <v>-27.263145779641093</v>
      </c>
      <c r="I31" s="553">
        <v>-58.827743134972231</v>
      </c>
      <c r="J31" s="553">
        <v>-92.951360875147984</v>
      </c>
      <c r="K31" s="554">
        <v>-130.61560641832645</v>
      </c>
      <c r="L31" s="549"/>
      <c r="M31" s="543"/>
      <c r="N31" s="556">
        <f>H31</f>
        <v>-27.263145779641093</v>
      </c>
      <c r="O31" s="556">
        <f>I31-H31</f>
        <v>-31.564597355331138</v>
      </c>
      <c r="P31" s="556">
        <f>J31-I31</f>
        <v>-34.123617740175753</v>
      </c>
      <c r="Q31" s="556">
        <f>K31-J31</f>
        <v>-37.664245543178467</v>
      </c>
    </row>
    <row r="32" spans="2:17" x14ac:dyDescent="0.25">
      <c r="B32" s="557" t="s">
        <v>1425</v>
      </c>
      <c r="C32" s="558"/>
      <c r="D32" s="559"/>
      <c r="E32" s="560"/>
      <c r="F32" s="561"/>
      <c r="G32" s="561"/>
      <c r="H32" s="561"/>
      <c r="I32" s="561">
        <v>-82.8</v>
      </c>
      <c r="J32" s="561"/>
      <c r="K32" s="562"/>
      <c r="L32" s="563"/>
      <c r="M32" s="564"/>
      <c r="N32" s="565"/>
      <c r="O32" s="565">
        <f>I32</f>
        <v>-82.8</v>
      </c>
      <c r="P32" s="565"/>
      <c r="Q32" s="565"/>
    </row>
    <row r="33" spans="2:17" x14ac:dyDescent="0.25">
      <c r="B33" s="566" t="s">
        <v>137</v>
      </c>
      <c r="C33" s="567" t="e">
        <f>SUM(#REF!,C5:C32)</f>
        <v>#REF!</v>
      </c>
      <c r="D33" s="567" t="e">
        <f>SUM(#REF!,D5:D32)</f>
        <v>#REF!</v>
      </c>
      <c r="E33" s="567" t="e">
        <f>SUM(#REF!,E5:E32)</f>
        <v>#REF!</v>
      </c>
      <c r="F33" s="567">
        <f>SUM(F5:F32)</f>
        <v>138.58781282743243</v>
      </c>
      <c r="G33" s="567">
        <f t="shared" ref="G33:Q33" si="1">SUM(G5:G32)</f>
        <v>-225.34</v>
      </c>
      <c r="H33" s="567">
        <f t="shared" si="1"/>
        <v>63.438354220358931</v>
      </c>
      <c r="I33" s="567">
        <f t="shared" si="1"/>
        <v>-133.42774313497225</v>
      </c>
      <c r="J33" s="567">
        <f t="shared" si="1"/>
        <v>-50.951360875147984</v>
      </c>
      <c r="K33" s="568">
        <f t="shared" si="1"/>
        <v>-188.61560641832645</v>
      </c>
      <c r="L33" s="567">
        <f t="shared" si="1"/>
        <v>138.58781282743243</v>
      </c>
      <c r="M33" s="567">
        <f>SUM(M5:M32)+11.29</f>
        <v>-136.01000000000005</v>
      </c>
      <c r="N33" s="567">
        <f t="shared" si="1"/>
        <v>200.58835422035892</v>
      </c>
      <c r="O33" s="567">
        <f t="shared" si="1"/>
        <v>-60.564597355331152</v>
      </c>
      <c r="P33" s="567">
        <f t="shared" si="1"/>
        <v>-16.858617740175745</v>
      </c>
      <c r="Q33" s="567">
        <f t="shared" si="1"/>
        <v>-17.36424554317847</v>
      </c>
    </row>
    <row r="35" spans="2:17" x14ac:dyDescent="0.25">
      <c r="F35" s="569"/>
      <c r="G35" s="569"/>
      <c r="H35" s="569"/>
      <c r="I35" s="569"/>
      <c r="J35" s="569"/>
      <c r="K35" s="569"/>
      <c r="L35" s="569"/>
      <c r="M35" s="569"/>
      <c r="N35" s="569"/>
      <c r="O35" s="569"/>
      <c r="P35" s="569"/>
      <c r="Q35" s="569"/>
    </row>
    <row r="37" spans="2:17" x14ac:dyDescent="0.25"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</row>
  </sheetData>
  <mergeCells count="2">
    <mergeCell ref="F3:K3"/>
    <mergeCell ref="L3:Q3"/>
  </mergeCell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7"/>
  <dimension ref="A2:I34"/>
  <sheetViews>
    <sheetView showGridLines="0" zoomScale="85" zoomScaleNormal="85" workbookViewId="0">
      <selection activeCell="C8" sqref="C8"/>
    </sheetView>
  </sheetViews>
  <sheetFormatPr defaultColWidth="51.5703125" defaultRowHeight="21.75" customHeight="1" x14ac:dyDescent="0.25"/>
  <cols>
    <col min="1" max="1" width="62.5703125" style="40" customWidth="1"/>
    <col min="2" max="7" width="8" style="40" customWidth="1"/>
    <col min="8" max="16384" width="51.5703125" style="40"/>
  </cols>
  <sheetData>
    <row r="2" spans="1:9" ht="18.75" customHeight="1" x14ac:dyDescent="0.25">
      <c r="A2" s="572" t="s">
        <v>163</v>
      </c>
      <c r="B2" s="573"/>
      <c r="C2" s="573"/>
    </row>
    <row r="3" spans="1:9" ht="18.75" customHeight="1" x14ac:dyDescent="0.25">
      <c r="A3" s="63"/>
      <c r="B3" s="64">
        <v>2015</v>
      </c>
      <c r="C3" s="64">
        <v>2016</v>
      </c>
      <c r="D3" s="64">
        <v>2017</v>
      </c>
      <c r="E3" s="64">
        <v>2018</v>
      </c>
      <c r="F3" s="64">
        <v>2019</v>
      </c>
      <c r="G3" s="64">
        <v>2020</v>
      </c>
    </row>
    <row r="4" spans="1:9" ht="18.75" customHeight="1" x14ac:dyDescent="0.25">
      <c r="A4" s="60" t="s">
        <v>159</v>
      </c>
      <c r="B4" s="229">
        <v>0</v>
      </c>
      <c r="C4" s="229">
        <v>0</v>
      </c>
      <c r="D4" s="229">
        <v>0</v>
      </c>
      <c r="E4" s="229">
        <v>0</v>
      </c>
      <c r="F4" s="229">
        <v>0</v>
      </c>
      <c r="G4" s="229">
        <v>0</v>
      </c>
    </row>
    <row r="5" spans="1:9" ht="18.75" customHeight="1" x14ac:dyDescent="0.25">
      <c r="A5" s="60" t="s">
        <v>160</v>
      </c>
      <c r="B5" s="229">
        <v>0</v>
      </c>
      <c r="C5" s="229">
        <v>0</v>
      </c>
      <c r="D5" s="229">
        <v>0</v>
      </c>
      <c r="E5" s="229">
        <v>0</v>
      </c>
      <c r="F5" s="229">
        <v>0</v>
      </c>
      <c r="G5" s="229">
        <v>0</v>
      </c>
    </row>
    <row r="6" spans="1:9" ht="18.75" customHeight="1" x14ac:dyDescent="0.25">
      <c r="A6" s="60" t="s">
        <v>128</v>
      </c>
      <c r="B6" s="229">
        <v>0</v>
      </c>
      <c r="C6" s="65">
        <v>-35.159999999999997</v>
      </c>
      <c r="D6" s="229"/>
      <c r="E6" s="229"/>
      <c r="F6" s="229"/>
      <c r="G6" s="229"/>
    </row>
    <row r="7" spans="1:9" ht="18.75" customHeight="1" x14ac:dyDescent="0.25">
      <c r="A7" s="61" t="s">
        <v>161</v>
      </c>
      <c r="B7" s="230">
        <v>0</v>
      </c>
      <c r="C7" s="230">
        <v>0</v>
      </c>
      <c r="D7" s="230">
        <v>0</v>
      </c>
      <c r="E7" s="230">
        <v>0</v>
      </c>
      <c r="F7" s="230">
        <v>0</v>
      </c>
      <c r="G7" s="230">
        <v>0</v>
      </c>
    </row>
    <row r="8" spans="1:9" ht="18.75" customHeight="1" x14ac:dyDescent="0.25">
      <c r="A8" s="574" t="s">
        <v>567</v>
      </c>
      <c r="B8" s="575">
        <f t="shared" ref="B8:G8" si="0">SUM(B4:B7)</f>
        <v>0</v>
      </c>
      <c r="C8" s="575">
        <f t="shared" si="0"/>
        <v>-35.159999999999997</v>
      </c>
      <c r="D8" s="575">
        <f t="shared" si="0"/>
        <v>0</v>
      </c>
      <c r="E8" s="575">
        <f t="shared" si="0"/>
        <v>0</v>
      </c>
      <c r="F8" s="575">
        <f t="shared" si="0"/>
        <v>0</v>
      </c>
      <c r="G8" s="575">
        <f t="shared" si="0"/>
        <v>0</v>
      </c>
    </row>
    <row r="9" spans="1:9" ht="18.75" customHeight="1" x14ac:dyDescent="0.25"/>
    <row r="10" spans="1:9" ht="18.75" customHeight="1" x14ac:dyDescent="0.25">
      <c r="A10" s="572" t="s">
        <v>164</v>
      </c>
      <c r="B10" s="573"/>
      <c r="C10" s="573"/>
    </row>
    <row r="11" spans="1:9" ht="18.75" customHeight="1" x14ac:dyDescent="0.25">
      <c r="A11" s="63"/>
      <c r="B11" s="64">
        <f>B3</f>
        <v>2015</v>
      </c>
      <c r="C11" s="64">
        <f t="shared" ref="C11:G11" si="1">C3</f>
        <v>2016</v>
      </c>
      <c r="D11" s="64">
        <f t="shared" si="1"/>
        <v>2017</v>
      </c>
      <c r="E11" s="64">
        <f t="shared" si="1"/>
        <v>2018</v>
      </c>
      <c r="F11" s="64">
        <f t="shared" si="1"/>
        <v>2019</v>
      </c>
      <c r="G11" s="64">
        <f t="shared" si="1"/>
        <v>2020</v>
      </c>
    </row>
    <row r="12" spans="1:9" ht="18.75" customHeight="1" x14ac:dyDescent="0.25">
      <c r="A12" s="60" t="str">
        <f>A4</f>
        <v xml:space="preserve"> - príjmy z predaja telekomunikačných licencií (digitálna dividenda)</v>
      </c>
      <c r="B12" s="229">
        <v>0</v>
      </c>
      <c r="C12" s="229">
        <v>0</v>
      </c>
      <c r="D12" s="229">
        <v>0</v>
      </c>
      <c r="E12" s="229">
        <v>0</v>
      </c>
      <c r="F12" s="229">
        <v>0</v>
      </c>
      <c r="G12" s="229">
        <v>0</v>
      </c>
    </row>
    <row r="13" spans="1:9" ht="18.75" customHeight="1" x14ac:dyDescent="0.25">
      <c r="A13" s="60" t="str">
        <f t="shared" ref="A13:A15" si="2">A5</f>
        <v xml:space="preserve"> - pokuta protimonopolného úradu za stavebný kartel </v>
      </c>
      <c r="B13" s="229">
        <v>0</v>
      </c>
      <c r="C13" s="229">
        <v>0</v>
      </c>
      <c r="D13" s="229">
        <v>0</v>
      </c>
      <c r="E13" s="229">
        <v>0</v>
      </c>
      <c r="F13" s="229">
        <v>0</v>
      </c>
      <c r="G13" s="229">
        <v>0</v>
      </c>
    </row>
    <row r="14" spans="1:9" ht="18.75" customHeight="1" x14ac:dyDescent="0.25">
      <c r="A14" s="60" t="str">
        <f t="shared" si="2"/>
        <v xml:space="preserve"> - nižší odvod do EÚ rozpočtu</v>
      </c>
      <c r="B14" s="229">
        <v>0</v>
      </c>
      <c r="C14" s="65">
        <f>C6/'Tab 21 '!C26*100</f>
        <v>-4.3429924482821979E-2</v>
      </c>
      <c r="D14" s="229">
        <v>0</v>
      </c>
      <c r="E14" s="229">
        <v>0</v>
      </c>
      <c r="F14" s="229">
        <v>0</v>
      </c>
      <c r="G14" s="229">
        <v>0</v>
      </c>
    </row>
    <row r="15" spans="1:9" ht="18.75" customHeight="1" x14ac:dyDescent="0.25">
      <c r="A15" s="61" t="str">
        <f t="shared" si="2"/>
        <v>-  jednorazové vyplatenie starobných dôchodkov silovým zložkám</v>
      </c>
      <c r="B15" s="230">
        <v>0</v>
      </c>
      <c r="C15" s="230">
        <v>0</v>
      </c>
      <c r="D15" s="230">
        <v>0</v>
      </c>
      <c r="E15" s="230">
        <v>0</v>
      </c>
      <c r="F15" s="230">
        <v>0</v>
      </c>
      <c r="G15" s="230">
        <v>0</v>
      </c>
      <c r="I15" s="4"/>
    </row>
    <row r="16" spans="1:9" ht="18.75" customHeight="1" x14ac:dyDescent="0.25">
      <c r="A16" s="574" t="s">
        <v>567</v>
      </c>
      <c r="B16" s="576">
        <f t="shared" ref="B16:G16" si="3">SUM(B12:B15)</f>
        <v>0</v>
      </c>
      <c r="C16" s="576">
        <f t="shared" si="3"/>
        <v>-4.3429924482821979E-2</v>
      </c>
      <c r="D16" s="576">
        <f t="shared" si="3"/>
        <v>0</v>
      </c>
      <c r="E16" s="576">
        <f t="shared" si="3"/>
        <v>0</v>
      </c>
      <c r="F16" s="576">
        <f t="shared" si="3"/>
        <v>0</v>
      </c>
      <c r="G16" s="576">
        <f t="shared" si="3"/>
        <v>0</v>
      </c>
      <c r="I16" s="4"/>
    </row>
    <row r="17" spans="1:9" ht="18.75" customHeight="1" x14ac:dyDescent="0.25">
      <c r="A17" s="1007" t="s">
        <v>21</v>
      </c>
      <c r="B17" s="1007"/>
      <c r="C17" s="1007"/>
      <c r="D17" s="1007"/>
      <c r="E17" s="1007"/>
      <c r="F17" s="1007"/>
      <c r="G17" s="1007"/>
      <c r="I17" s="4"/>
    </row>
    <row r="18" spans="1:9" ht="18.75" customHeight="1" x14ac:dyDescent="0.25">
      <c r="I18" s="4"/>
    </row>
    <row r="19" spans="1:9" ht="18.75" customHeight="1" x14ac:dyDescent="0.25">
      <c r="A19" s="572" t="s">
        <v>565</v>
      </c>
      <c r="B19" s="573"/>
      <c r="C19" s="573"/>
      <c r="I19" s="4"/>
    </row>
    <row r="20" spans="1:9" ht="18.75" customHeight="1" x14ac:dyDescent="0.25">
      <c r="A20" s="63"/>
      <c r="B20" s="64">
        <f>B3</f>
        <v>2015</v>
      </c>
      <c r="C20" s="64">
        <f t="shared" ref="C20:G20" si="4">C3</f>
        <v>2016</v>
      </c>
      <c r="D20" s="64">
        <f t="shared" si="4"/>
        <v>2017</v>
      </c>
      <c r="E20" s="64">
        <f t="shared" si="4"/>
        <v>2018</v>
      </c>
      <c r="F20" s="64">
        <f t="shared" si="4"/>
        <v>2019</v>
      </c>
      <c r="G20" s="64">
        <f t="shared" si="4"/>
        <v>2020</v>
      </c>
    </row>
    <row r="21" spans="1:9" ht="18.75" customHeight="1" x14ac:dyDescent="0.25">
      <c r="A21" s="60" t="s">
        <v>476</v>
      </c>
      <c r="B21" s="229">
        <f>B4</f>
        <v>0</v>
      </c>
      <c r="C21" s="571">
        <f t="shared" ref="C21:G21" si="5">C4</f>
        <v>0</v>
      </c>
      <c r="D21" s="229">
        <f t="shared" si="5"/>
        <v>0</v>
      </c>
      <c r="E21" s="229">
        <f t="shared" si="5"/>
        <v>0</v>
      </c>
      <c r="F21" s="229">
        <f t="shared" si="5"/>
        <v>0</v>
      </c>
      <c r="G21" s="229">
        <f t="shared" si="5"/>
        <v>0</v>
      </c>
    </row>
    <row r="22" spans="1:9" ht="18.75" customHeight="1" x14ac:dyDescent="0.25">
      <c r="A22" s="60" t="s">
        <v>479</v>
      </c>
      <c r="B22" s="229">
        <f t="shared" ref="B22:B24" si="6">B5</f>
        <v>0</v>
      </c>
      <c r="C22" s="571">
        <f t="shared" ref="C22:G22" si="7">C5</f>
        <v>0</v>
      </c>
      <c r="D22" s="229">
        <f t="shared" si="7"/>
        <v>0</v>
      </c>
      <c r="E22" s="229">
        <f t="shared" si="7"/>
        <v>0</v>
      </c>
      <c r="F22" s="229">
        <f t="shared" si="7"/>
        <v>0</v>
      </c>
      <c r="G22" s="229">
        <f t="shared" si="7"/>
        <v>0</v>
      </c>
    </row>
    <row r="23" spans="1:9" ht="18.75" customHeight="1" x14ac:dyDescent="0.25">
      <c r="A23" s="60" t="s">
        <v>477</v>
      </c>
      <c r="B23" s="229">
        <f t="shared" si="6"/>
        <v>0</v>
      </c>
      <c r="C23" s="65">
        <f t="shared" ref="C23:G23" si="8">C6</f>
        <v>-35.159999999999997</v>
      </c>
      <c r="D23" s="229">
        <f t="shared" si="8"/>
        <v>0</v>
      </c>
      <c r="E23" s="229">
        <f t="shared" si="8"/>
        <v>0</v>
      </c>
      <c r="F23" s="229">
        <f t="shared" si="8"/>
        <v>0</v>
      </c>
      <c r="G23" s="229">
        <f t="shared" si="8"/>
        <v>0</v>
      </c>
    </row>
    <row r="24" spans="1:9" ht="18.75" customHeight="1" x14ac:dyDescent="0.25">
      <c r="A24" s="60" t="s">
        <v>478</v>
      </c>
      <c r="B24" s="230">
        <f t="shared" si="6"/>
        <v>0</v>
      </c>
      <c r="C24" s="230">
        <f t="shared" ref="C24:G24" si="9">C7</f>
        <v>0</v>
      </c>
      <c r="D24" s="230">
        <f t="shared" si="9"/>
        <v>0</v>
      </c>
      <c r="E24" s="230">
        <f t="shared" si="9"/>
        <v>0</v>
      </c>
      <c r="F24" s="230">
        <f t="shared" si="9"/>
        <v>0</v>
      </c>
      <c r="G24" s="230">
        <f t="shared" si="9"/>
        <v>0</v>
      </c>
    </row>
    <row r="25" spans="1:9" ht="18.75" customHeight="1" x14ac:dyDescent="0.25">
      <c r="A25" s="574" t="s">
        <v>568</v>
      </c>
      <c r="B25" s="575">
        <f t="shared" ref="B25:G25" si="10">SUM(B21:B24)</f>
        <v>0</v>
      </c>
      <c r="C25" s="575">
        <f t="shared" si="10"/>
        <v>-35.159999999999997</v>
      </c>
      <c r="D25" s="575">
        <f t="shared" si="10"/>
        <v>0</v>
      </c>
      <c r="E25" s="575">
        <f t="shared" si="10"/>
        <v>0</v>
      </c>
      <c r="F25" s="575">
        <f t="shared" si="10"/>
        <v>0</v>
      </c>
      <c r="G25" s="575">
        <f t="shared" si="10"/>
        <v>0</v>
      </c>
    </row>
    <row r="26" spans="1:9" ht="18.75" customHeight="1" x14ac:dyDescent="0.25"/>
    <row r="27" spans="1:9" ht="18.75" customHeight="1" x14ac:dyDescent="0.25">
      <c r="A27" s="572" t="s">
        <v>566</v>
      </c>
      <c r="B27" s="573"/>
      <c r="C27" s="573"/>
    </row>
    <row r="28" spans="1:9" ht="18.75" customHeight="1" x14ac:dyDescent="0.25">
      <c r="A28" s="63"/>
      <c r="B28" s="64">
        <f>B3</f>
        <v>2015</v>
      </c>
      <c r="C28" s="64">
        <f t="shared" ref="C28:G28" si="11">C3</f>
        <v>2016</v>
      </c>
      <c r="D28" s="64">
        <f t="shared" si="11"/>
        <v>2017</v>
      </c>
      <c r="E28" s="64">
        <f t="shared" si="11"/>
        <v>2018</v>
      </c>
      <c r="F28" s="64">
        <f t="shared" si="11"/>
        <v>2019</v>
      </c>
      <c r="G28" s="64">
        <f t="shared" si="11"/>
        <v>2020</v>
      </c>
    </row>
    <row r="29" spans="1:9" ht="18.75" customHeight="1" x14ac:dyDescent="0.25">
      <c r="A29" s="60" t="s">
        <v>476</v>
      </c>
      <c r="B29" s="229">
        <f>B12</f>
        <v>0</v>
      </c>
      <c r="C29" s="229">
        <f t="shared" ref="C29:G29" si="12">C12</f>
        <v>0</v>
      </c>
      <c r="D29" s="229">
        <f t="shared" si="12"/>
        <v>0</v>
      </c>
      <c r="E29" s="229">
        <f t="shared" si="12"/>
        <v>0</v>
      </c>
      <c r="F29" s="229">
        <f t="shared" si="12"/>
        <v>0</v>
      </c>
      <c r="G29" s="229">
        <f t="shared" si="12"/>
        <v>0</v>
      </c>
    </row>
    <row r="30" spans="1:9" ht="18.75" customHeight="1" x14ac:dyDescent="0.25">
      <c r="A30" s="60" t="s">
        <v>479</v>
      </c>
      <c r="B30" s="229">
        <f t="shared" ref="B30:B32" si="13">B13</f>
        <v>0</v>
      </c>
      <c r="C30" s="229">
        <f t="shared" ref="C30:G30" si="14">C13</f>
        <v>0</v>
      </c>
      <c r="D30" s="229">
        <f t="shared" si="14"/>
        <v>0</v>
      </c>
      <c r="E30" s="229">
        <f t="shared" si="14"/>
        <v>0</v>
      </c>
      <c r="F30" s="229">
        <f t="shared" si="14"/>
        <v>0</v>
      </c>
      <c r="G30" s="229">
        <f t="shared" si="14"/>
        <v>0</v>
      </c>
    </row>
    <row r="31" spans="1:9" ht="18.75" customHeight="1" x14ac:dyDescent="0.25">
      <c r="A31" s="60" t="s">
        <v>477</v>
      </c>
      <c r="B31" s="229">
        <f t="shared" si="13"/>
        <v>0</v>
      </c>
      <c r="C31" s="65">
        <f>C14</f>
        <v>-4.3429924482821979E-2</v>
      </c>
      <c r="D31" s="229">
        <f t="shared" ref="D31:G31" si="15">D14</f>
        <v>0</v>
      </c>
      <c r="E31" s="229">
        <f t="shared" si="15"/>
        <v>0</v>
      </c>
      <c r="F31" s="229">
        <f t="shared" si="15"/>
        <v>0</v>
      </c>
      <c r="G31" s="229">
        <f t="shared" si="15"/>
        <v>0</v>
      </c>
    </row>
    <row r="32" spans="1:9" ht="18.75" customHeight="1" x14ac:dyDescent="0.25">
      <c r="A32" s="60" t="s">
        <v>478</v>
      </c>
      <c r="B32" s="230">
        <f t="shared" si="13"/>
        <v>0</v>
      </c>
      <c r="C32" s="230">
        <f t="shared" ref="C32:G32" si="16">C15</f>
        <v>0</v>
      </c>
      <c r="D32" s="230">
        <f t="shared" si="16"/>
        <v>0</v>
      </c>
      <c r="E32" s="230">
        <f t="shared" si="16"/>
        <v>0</v>
      </c>
      <c r="F32" s="230">
        <f t="shared" si="16"/>
        <v>0</v>
      </c>
      <c r="G32" s="230">
        <f t="shared" si="16"/>
        <v>0</v>
      </c>
    </row>
    <row r="33" spans="1:7" ht="18.75" customHeight="1" x14ac:dyDescent="0.25">
      <c r="A33" s="574" t="s">
        <v>568</v>
      </c>
      <c r="B33" s="576">
        <f t="shared" ref="B33:G33" si="17">SUM(B29:B32)</f>
        <v>0</v>
      </c>
      <c r="C33" s="576">
        <f t="shared" si="17"/>
        <v>-4.3429924482821979E-2</v>
      </c>
      <c r="D33" s="576">
        <f t="shared" si="17"/>
        <v>0</v>
      </c>
      <c r="E33" s="576">
        <f t="shared" si="17"/>
        <v>0</v>
      </c>
      <c r="F33" s="576">
        <f t="shared" si="17"/>
        <v>0</v>
      </c>
      <c r="G33" s="576">
        <f t="shared" si="17"/>
        <v>0</v>
      </c>
    </row>
    <row r="34" spans="1:7" ht="21.75" customHeight="1" x14ac:dyDescent="0.25">
      <c r="A34" s="1007" t="s">
        <v>345</v>
      </c>
      <c r="B34" s="1007"/>
      <c r="C34" s="1007"/>
      <c r="D34" s="1007"/>
      <c r="E34" s="1007"/>
      <c r="F34" s="1007"/>
      <c r="G34" s="1007"/>
    </row>
  </sheetData>
  <mergeCells count="2">
    <mergeCell ref="A17:G17"/>
    <mergeCell ref="A34:G3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3:CW120"/>
  <sheetViews>
    <sheetView showGridLines="0" zoomScale="80" zoomScaleNormal="80" workbookViewId="0">
      <selection activeCell="Y6" sqref="Y6"/>
    </sheetView>
  </sheetViews>
  <sheetFormatPr defaultRowHeight="13.5" x14ac:dyDescent="0.25"/>
  <cols>
    <col min="1" max="1" width="9.140625" style="40"/>
    <col min="2" max="2" width="27.42578125" style="40" customWidth="1"/>
    <col min="3" max="3" width="11.140625" style="40" customWidth="1"/>
    <col min="4" max="4" width="9.140625" style="393"/>
    <col min="5" max="5" width="34.5703125" style="40" customWidth="1"/>
    <col min="6" max="7" width="9.140625" style="40"/>
    <col min="8" max="8" width="9.140625" style="733"/>
    <col min="9" max="9" width="25.28515625" style="766" customWidth="1"/>
    <col min="10" max="13" width="9.28515625" style="766" bestFit="1" customWidth="1"/>
    <col min="14" max="50" width="9.28515625" style="733" bestFit="1" customWidth="1"/>
    <col min="51" max="67" width="11.42578125" style="40" bestFit="1" customWidth="1"/>
    <col min="68" max="69" width="10.42578125" style="40" bestFit="1" customWidth="1"/>
    <col min="70" max="98" width="11.42578125" style="40" bestFit="1" customWidth="1"/>
    <col min="99" max="101" width="10.42578125" style="40" bestFit="1" customWidth="1"/>
    <col min="102" max="16384" width="9.140625" style="40"/>
  </cols>
  <sheetData>
    <row r="3" spans="1:101" ht="27" customHeight="1" thickBot="1" x14ac:dyDescent="0.3">
      <c r="A3" s="919" t="s">
        <v>660</v>
      </c>
      <c r="B3" s="919"/>
      <c r="C3" s="919"/>
      <c r="D3" s="40"/>
      <c r="E3" s="710" t="s">
        <v>1012</v>
      </c>
      <c r="F3" s="52"/>
      <c r="I3" s="760"/>
      <c r="J3" s="761" t="s">
        <v>215</v>
      </c>
      <c r="K3" s="761" t="s">
        <v>216</v>
      </c>
      <c r="L3" s="761" t="s">
        <v>217</v>
      </c>
      <c r="M3" s="761" t="s">
        <v>218</v>
      </c>
      <c r="N3" s="761" t="s">
        <v>219</v>
      </c>
      <c r="O3" s="761" t="s">
        <v>220</v>
      </c>
      <c r="P3" s="761" t="s">
        <v>221</v>
      </c>
      <c r="Q3" s="761" t="s">
        <v>222</v>
      </c>
      <c r="R3" s="761" t="s">
        <v>178</v>
      </c>
      <c r="S3" s="761" t="s">
        <v>179</v>
      </c>
      <c r="T3" s="761" t="s">
        <v>180</v>
      </c>
      <c r="U3" s="761" t="s">
        <v>181</v>
      </c>
      <c r="V3" s="761" t="s">
        <v>182</v>
      </c>
      <c r="W3" s="761" t="s">
        <v>183</v>
      </c>
      <c r="X3" s="761" t="s">
        <v>184</v>
      </c>
      <c r="Y3" s="761" t="s">
        <v>185</v>
      </c>
      <c r="Z3" s="761" t="s">
        <v>186</v>
      </c>
      <c r="AA3" s="761" t="s">
        <v>187</v>
      </c>
      <c r="AB3" s="761" t="s">
        <v>188</v>
      </c>
      <c r="AC3" s="761" t="s">
        <v>189</v>
      </c>
      <c r="AD3" s="761" t="s">
        <v>190</v>
      </c>
      <c r="AE3" s="761" t="s">
        <v>191</v>
      </c>
      <c r="AF3" s="761" t="s">
        <v>192</v>
      </c>
      <c r="AG3" s="761" t="s">
        <v>193</v>
      </c>
      <c r="AH3" s="761" t="s">
        <v>194</v>
      </c>
      <c r="AI3" s="761" t="s">
        <v>195</v>
      </c>
      <c r="AJ3" s="761" t="s">
        <v>196</v>
      </c>
      <c r="AK3" s="761" t="s">
        <v>197</v>
      </c>
      <c r="AL3" s="761" t="s">
        <v>198</v>
      </c>
      <c r="AM3" s="761" t="s">
        <v>199</v>
      </c>
      <c r="AN3" s="761" t="s">
        <v>200</v>
      </c>
      <c r="AO3" s="761" t="s">
        <v>201</v>
      </c>
      <c r="AP3" s="761" t="s">
        <v>202</v>
      </c>
      <c r="AQ3" s="761" t="s">
        <v>203</v>
      </c>
      <c r="AR3" s="761" t="s">
        <v>204</v>
      </c>
      <c r="AS3" s="761" t="s">
        <v>205</v>
      </c>
      <c r="AT3" s="762" t="s">
        <v>206</v>
      </c>
      <c r="AU3" s="762" t="s">
        <v>207</v>
      </c>
      <c r="AV3" s="762" t="s">
        <v>208</v>
      </c>
      <c r="AW3" s="762" t="s">
        <v>209</v>
      </c>
      <c r="AX3" s="762" t="s">
        <v>632</v>
      </c>
      <c r="AY3" s="762" t="s">
        <v>633</v>
      </c>
      <c r="AZ3" s="762" t="s">
        <v>634</v>
      </c>
      <c r="BA3" s="762" t="s">
        <v>635</v>
      </c>
    </row>
    <row r="4" spans="1:101" x14ac:dyDescent="0.25">
      <c r="D4" s="40"/>
      <c r="E4" s="737"/>
      <c r="I4" s="763" t="s">
        <v>214</v>
      </c>
      <c r="J4" s="764">
        <v>7.5648714025498442</v>
      </c>
      <c r="K4" s="764">
        <v>8.3534609641376711</v>
      </c>
      <c r="L4" s="764">
        <v>7.9407768860966232</v>
      </c>
      <c r="M4" s="764">
        <v>9.8608100371152965</v>
      </c>
      <c r="N4" s="764">
        <v>9.3482111294408643</v>
      </c>
      <c r="O4" s="764">
        <v>9.0066265589079144</v>
      </c>
      <c r="P4" s="764">
        <v>11.085008317974921</v>
      </c>
      <c r="Q4" s="764">
        <v>13.487498389180574</v>
      </c>
      <c r="R4" s="764">
        <v>9.3099060827730007</v>
      </c>
      <c r="S4" s="764">
        <v>6.5719278988591423</v>
      </c>
      <c r="T4" s="764">
        <v>6.1453550402775559</v>
      </c>
      <c r="U4" s="764">
        <v>1.190573450102006</v>
      </c>
      <c r="V4" s="764">
        <v>-5.8335086554350157</v>
      </c>
      <c r="W4" s="764">
        <v>-6.0097505739885921</v>
      </c>
      <c r="X4" s="764">
        <v>-5.8847243130432219</v>
      </c>
      <c r="Y4" s="764">
        <v>-3.9996105295589501</v>
      </c>
      <c r="Z4" s="764">
        <v>5.8489281850738761</v>
      </c>
      <c r="AA4" s="764">
        <v>5.2327972267755651</v>
      </c>
      <c r="AB4" s="764">
        <v>4.8053961322794603</v>
      </c>
      <c r="AC4" s="764">
        <v>4.3910856535613663</v>
      </c>
      <c r="AD4" s="764">
        <v>2.7312338945686632</v>
      </c>
      <c r="AE4" s="764">
        <v>3.114807798530439</v>
      </c>
      <c r="AF4" s="764">
        <v>2.3455821452111003</v>
      </c>
      <c r="AG4" s="764">
        <v>3.0991014559845542</v>
      </c>
      <c r="AH4" s="764">
        <v>2.530711252487583</v>
      </c>
      <c r="AI4" s="764">
        <v>2.0751052605774145</v>
      </c>
      <c r="AJ4" s="764">
        <v>1.7336111780583474</v>
      </c>
      <c r="AK4" s="764">
        <v>0.40084305699390477</v>
      </c>
      <c r="AL4" s="764">
        <v>1.0873635820894068</v>
      </c>
      <c r="AM4" s="764">
        <v>1.2556974630464124</v>
      </c>
      <c r="AN4" s="764">
        <v>1.4845121778399806</v>
      </c>
      <c r="AO4" s="764">
        <v>2.0927652137715524</v>
      </c>
      <c r="AP4" s="764">
        <v>2.4322387013401059</v>
      </c>
      <c r="AQ4" s="764">
        <v>2.5075979926267644</v>
      </c>
      <c r="AR4" s="764">
        <v>2.5153043283741017</v>
      </c>
      <c r="AS4" s="764">
        <v>2.8137866340488982</v>
      </c>
      <c r="AT4" s="764">
        <v>3.1786799309885927</v>
      </c>
      <c r="AU4" s="764">
        <v>3.610057632266428</v>
      </c>
      <c r="AV4" s="764">
        <v>3.8729200090608984</v>
      </c>
      <c r="AW4" s="764">
        <v>4.5860766740713821</v>
      </c>
      <c r="AX4" s="764">
        <v>3.3850588642698964</v>
      </c>
      <c r="AY4" s="764">
        <v>3.8197692580437481</v>
      </c>
      <c r="AZ4" s="764">
        <v>2.9543581731657165</v>
      </c>
      <c r="BA4" s="764">
        <v>3.0208655158135977</v>
      </c>
    </row>
    <row r="5" spans="1:101" x14ac:dyDescent="0.25">
      <c r="D5" s="40"/>
      <c r="E5" s="84"/>
      <c r="I5" s="763" t="s">
        <v>213</v>
      </c>
      <c r="J5" s="764">
        <v>2.0578728596563067</v>
      </c>
      <c r="K5" s="764">
        <v>3.0720325341846211</v>
      </c>
      <c r="L5" s="764">
        <v>2.5152101140369032</v>
      </c>
      <c r="M5" s="764">
        <v>2.271583156340351</v>
      </c>
      <c r="N5" s="765">
        <v>2.5720251580833686</v>
      </c>
      <c r="O5" s="765">
        <v>2.1995091842046621</v>
      </c>
      <c r="P5" s="765">
        <v>2.5295832919410843</v>
      </c>
      <c r="Q5" s="765">
        <v>2.8620232988772365</v>
      </c>
      <c r="R5" s="765">
        <v>4.0197023223285111</v>
      </c>
      <c r="S5" s="765">
        <v>3.9416222408760637</v>
      </c>
      <c r="T5" s="765">
        <v>4.2545188018862978</v>
      </c>
      <c r="U5" s="765">
        <v>3.2054944823315612</v>
      </c>
      <c r="V5" s="765">
        <v>0.25393825005026738</v>
      </c>
      <c r="W5" s="765">
        <v>-1.2512062062426499</v>
      </c>
      <c r="X5" s="765">
        <v>-4.144257125769335</v>
      </c>
      <c r="Y5" s="765">
        <v>-4.8171010731225872</v>
      </c>
      <c r="Z5" s="765">
        <v>-4.1144778407769529</v>
      </c>
      <c r="AA5" s="765">
        <v>-3.3772379560983889</v>
      </c>
      <c r="AB5" s="765">
        <v>-1.3579909649771627</v>
      </c>
      <c r="AC5" s="765">
        <v>0.42067757273565043</v>
      </c>
      <c r="AD5" s="765">
        <v>2.8086633077548884</v>
      </c>
      <c r="AE5" s="765">
        <v>2.9154154447932346</v>
      </c>
      <c r="AF5" s="765">
        <v>2.1172672335839415</v>
      </c>
      <c r="AG5" s="765">
        <v>1.2506821666478984</v>
      </c>
      <c r="AH5" s="765">
        <v>0.87626619663707661</v>
      </c>
      <c r="AI5" s="765">
        <v>0.6950175579480744</v>
      </c>
      <c r="AJ5" s="765">
        <v>0.17008189295939502</v>
      </c>
      <c r="AK5" s="765">
        <v>-0.49205143297785803</v>
      </c>
      <c r="AL5" s="765">
        <v>-1.1080425187687259</v>
      </c>
      <c r="AM5" s="765">
        <v>-1.5649187238002793</v>
      </c>
      <c r="AN5" s="765">
        <v>-0.97664949141200719</v>
      </c>
      <c r="AO5" s="765">
        <v>-3.0493309527157564E-2</v>
      </c>
      <c r="AP5" s="765">
        <v>0.51473661007452876</v>
      </c>
      <c r="AQ5" s="765">
        <v>1.3081925595001875</v>
      </c>
      <c r="AR5" s="765">
        <v>1.1848055833185489</v>
      </c>
      <c r="AS5" s="765">
        <v>2.005661330429831</v>
      </c>
      <c r="AT5" s="765">
        <v>1.9119109229290387</v>
      </c>
      <c r="AU5" s="765">
        <v>2.1312837627915693</v>
      </c>
      <c r="AV5" s="765">
        <v>2.2958892981852497</v>
      </c>
      <c r="AW5" s="765">
        <v>2.2626685267894686</v>
      </c>
      <c r="AX5" s="733">
        <v>2.2597353545893206</v>
      </c>
      <c r="AY5" s="40">
        <v>2.4150892610361963</v>
      </c>
      <c r="AZ5" s="40">
        <v>2.6812228374607061</v>
      </c>
      <c r="BA5" s="40">
        <v>2.7952306017152484</v>
      </c>
    </row>
    <row r="6" spans="1:101" x14ac:dyDescent="0.25">
      <c r="D6" s="40"/>
      <c r="J6" s="766" t="s">
        <v>636</v>
      </c>
      <c r="K6" s="766" t="s">
        <v>637</v>
      </c>
      <c r="L6" s="766" t="s">
        <v>638</v>
      </c>
      <c r="M6" s="766" t="s">
        <v>639</v>
      </c>
      <c r="N6" s="733" t="s">
        <v>640</v>
      </c>
      <c r="O6" s="733" t="s">
        <v>641</v>
      </c>
      <c r="P6" s="733" t="s">
        <v>642</v>
      </c>
      <c r="Q6" s="733" t="s">
        <v>643</v>
      </c>
      <c r="R6" s="733" t="s">
        <v>644</v>
      </c>
      <c r="S6" s="733" t="s">
        <v>645</v>
      </c>
      <c r="T6" s="733" t="s">
        <v>646</v>
      </c>
      <c r="U6" s="733" t="s">
        <v>647</v>
      </c>
      <c r="V6" s="733" t="s">
        <v>648</v>
      </c>
      <c r="W6" s="733" t="s">
        <v>649</v>
      </c>
      <c r="X6" s="733" t="s">
        <v>650</v>
      </c>
      <c r="Y6" s="733" t="s">
        <v>651</v>
      </c>
      <c r="Z6" s="733" t="s">
        <v>652</v>
      </c>
      <c r="AA6" s="733" t="s">
        <v>653</v>
      </c>
      <c r="AB6" s="733" t="s">
        <v>654</v>
      </c>
      <c r="AC6" s="733" t="s">
        <v>655</v>
      </c>
      <c r="AD6" s="733" t="s">
        <v>656</v>
      </c>
      <c r="AE6" s="733" t="s">
        <v>657</v>
      </c>
      <c r="AF6" s="733" t="s">
        <v>658</v>
      </c>
      <c r="AG6" s="733" t="s">
        <v>659</v>
      </c>
      <c r="AH6" s="733" t="s">
        <v>229</v>
      </c>
      <c r="AI6" s="733" t="s">
        <v>230</v>
      </c>
      <c r="AJ6" s="733" t="s">
        <v>231</v>
      </c>
      <c r="AK6" s="733" t="s">
        <v>232</v>
      </c>
      <c r="AL6" s="733" t="s">
        <v>233</v>
      </c>
      <c r="AM6" s="733" t="s">
        <v>234</v>
      </c>
      <c r="AN6" s="733" t="s">
        <v>235</v>
      </c>
      <c r="AO6" s="733" t="s">
        <v>236</v>
      </c>
      <c r="AP6" s="733" t="s">
        <v>237</v>
      </c>
      <c r="AQ6" s="733" t="s">
        <v>238</v>
      </c>
      <c r="AR6" s="733" t="s">
        <v>239</v>
      </c>
      <c r="AS6" s="733" t="s">
        <v>240</v>
      </c>
      <c r="AT6" s="733" t="s">
        <v>241</v>
      </c>
      <c r="AU6" s="733" t="s">
        <v>242</v>
      </c>
      <c r="AV6" s="733" t="s">
        <v>243</v>
      </c>
      <c r="AW6" s="733" t="s">
        <v>244</v>
      </c>
      <c r="AX6" s="733" t="s">
        <v>245</v>
      </c>
      <c r="AY6" s="40" t="s">
        <v>246</v>
      </c>
      <c r="AZ6" s="40" t="s">
        <v>247</v>
      </c>
      <c r="BA6" s="40" t="s">
        <v>248</v>
      </c>
      <c r="BB6" s="40" t="s">
        <v>249</v>
      </c>
      <c r="BC6" s="40" t="s">
        <v>250</v>
      </c>
      <c r="BD6" s="40" t="s">
        <v>251</v>
      </c>
      <c r="BE6" s="40" t="s">
        <v>252</v>
      </c>
      <c r="BF6" s="40" t="s">
        <v>215</v>
      </c>
      <c r="BG6" s="40" t="s">
        <v>216</v>
      </c>
      <c r="BH6" s="40" t="s">
        <v>217</v>
      </c>
      <c r="BI6" s="40" t="s">
        <v>218</v>
      </c>
      <c r="BJ6" s="40" t="s">
        <v>219</v>
      </c>
      <c r="BK6" s="40" t="s">
        <v>220</v>
      </c>
      <c r="BL6" s="40" t="s">
        <v>221</v>
      </c>
      <c r="BM6" s="40" t="s">
        <v>222</v>
      </c>
      <c r="BN6" s="40" t="s">
        <v>178</v>
      </c>
      <c r="BO6" s="40" t="s">
        <v>179</v>
      </c>
      <c r="BP6" s="40" t="s">
        <v>180</v>
      </c>
      <c r="BQ6" s="40" t="s">
        <v>181</v>
      </c>
      <c r="BR6" s="40" t="s">
        <v>182</v>
      </c>
      <c r="BS6" s="40" t="s">
        <v>183</v>
      </c>
      <c r="BT6" s="40" t="s">
        <v>184</v>
      </c>
      <c r="BU6" s="40" t="s">
        <v>185</v>
      </c>
      <c r="BV6" s="40" t="s">
        <v>186</v>
      </c>
      <c r="BW6" s="40" t="s">
        <v>187</v>
      </c>
      <c r="BX6" s="40" t="s">
        <v>188</v>
      </c>
      <c r="BY6" s="40" t="s">
        <v>189</v>
      </c>
      <c r="BZ6" s="40" t="s">
        <v>190</v>
      </c>
      <c r="CA6" s="40" t="s">
        <v>191</v>
      </c>
      <c r="CB6" s="40" t="s">
        <v>192</v>
      </c>
      <c r="CC6" s="40" t="s">
        <v>193</v>
      </c>
      <c r="CD6" s="40" t="s">
        <v>194</v>
      </c>
      <c r="CE6" s="40" t="s">
        <v>195</v>
      </c>
      <c r="CF6" s="40" t="s">
        <v>196</v>
      </c>
      <c r="CG6" s="40" t="s">
        <v>197</v>
      </c>
      <c r="CH6" s="40" t="s">
        <v>198</v>
      </c>
      <c r="CI6" s="40" t="s">
        <v>199</v>
      </c>
      <c r="CJ6" s="40" t="s">
        <v>200</v>
      </c>
      <c r="CK6" s="40" t="s">
        <v>201</v>
      </c>
      <c r="CL6" s="40" t="s">
        <v>202</v>
      </c>
      <c r="CM6" s="40" t="s">
        <v>203</v>
      </c>
      <c r="CN6" s="40" t="s">
        <v>204</v>
      </c>
      <c r="CO6" s="40" t="s">
        <v>205</v>
      </c>
      <c r="CP6" s="40" t="s">
        <v>206</v>
      </c>
      <c r="CQ6" s="40" t="s">
        <v>207</v>
      </c>
      <c r="CR6" s="40" t="s">
        <v>208</v>
      </c>
      <c r="CS6" s="40" t="s">
        <v>209</v>
      </c>
      <c r="CT6" s="40" t="s">
        <v>632</v>
      </c>
      <c r="CU6" s="40" t="s">
        <v>633</v>
      </c>
      <c r="CV6" s="40" t="s">
        <v>634</v>
      </c>
      <c r="CW6" s="40" t="s">
        <v>635</v>
      </c>
    </row>
    <row r="7" spans="1:101" x14ac:dyDescent="0.25">
      <c r="D7" s="40"/>
      <c r="I7" s="763" t="s">
        <v>663</v>
      </c>
      <c r="J7" s="767">
        <v>13.169560014099169</v>
      </c>
      <c r="K7" s="767">
        <v>13.582809306230503</v>
      </c>
      <c r="L7" s="767">
        <v>13.730564682467456</v>
      </c>
      <c r="M7" s="767">
        <v>14.149146648061434</v>
      </c>
      <c r="N7" s="758">
        <v>13.843940196159343</v>
      </c>
      <c r="O7" s="758">
        <v>13.446388758028846</v>
      </c>
      <c r="P7" s="758">
        <v>12.723425323029472</v>
      </c>
      <c r="Q7" s="758">
        <v>12.473809208195844</v>
      </c>
      <c r="R7" s="758">
        <v>11.734865627396598</v>
      </c>
      <c r="S7" s="758">
        <v>11.350197768703438</v>
      </c>
      <c r="T7" s="758">
        <v>11.15085577889675</v>
      </c>
      <c r="U7" s="758">
        <v>11.121817703716008</v>
      </c>
      <c r="V7" s="758">
        <v>11.484254373539784</v>
      </c>
      <c r="W7" s="758">
        <v>11.599393077224708</v>
      </c>
      <c r="X7" s="758">
        <v>12.246805629612673</v>
      </c>
      <c r="Y7" s="758">
        <v>12.22126902178662</v>
      </c>
      <c r="Z7" s="758">
        <v>12.120053914763286</v>
      </c>
      <c r="AA7" s="758">
        <v>12.308883282802039</v>
      </c>
      <c r="AB7" s="758">
        <v>13.035022879202227</v>
      </c>
      <c r="AC7" s="758">
        <v>13.060194323937877</v>
      </c>
      <c r="AD7" s="758">
        <v>14.816523254193873</v>
      </c>
      <c r="AE7" s="758">
        <v>15.986507021591912</v>
      </c>
      <c r="AF7" s="758">
        <v>16.997061540293558</v>
      </c>
      <c r="AG7" s="758">
        <v>17.663178016293301</v>
      </c>
      <c r="AH7" s="758">
        <v>18.456682366977851</v>
      </c>
      <c r="AI7" s="758">
        <v>19.09087468041584</v>
      </c>
      <c r="AJ7" s="758">
        <v>18.881900476792211</v>
      </c>
      <c r="AK7" s="758">
        <v>18.617729968987373</v>
      </c>
      <c r="AL7" s="758">
        <v>19.254354207355512</v>
      </c>
      <c r="AM7" s="758">
        <v>19.383548607019804</v>
      </c>
      <c r="AN7" s="758">
        <v>19.403360891112456</v>
      </c>
      <c r="AO7" s="758">
        <v>19.182425675540035</v>
      </c>
      <c r="AP7" s="758">
        <v>18.812174348532892</v>
      </c>
      <c r="AQ7" s="758">
        <v>18.707877382504428</v>
      </c>
      <c r="AR7" s="758">
        <v>18.628565551840349</v>
      </c>
      <c r="AS7" s="758">
        <v>18.352274947048798</v>
      </c>
      <c r="AT7" s="758">
        <v>17.805909548226971</v>
      </c>
      <c r="AU7" s="758">
        <v>17.156219281377876</v>
      </c>
      <c r="AV7" s="758">
        <v>17.340735107259775</v>
      </c>
      <c r="AW7" s="758">
        <v>17.657494167155761</v>
      </c>
      <c r="AX7" s="758">
        <v>18.775706480297107</v>
      </c>
      <c r="AY7" s="49">
        <v>18.617569912617505</v>
      </c>
      <c r="AZ7" s="49">
        <v>17.780275845106843</v>
      </c>
      <c r="BA7" s="49">
        <v>17.322952986895814</v>
      </c>
      <c r="BB7" s="49">
        <v>16.984589743107005</v>
      </c>
      <c r="BC7" s="49">
        <v>16.295423753100351</v>
      </c>
      <c r="BD7" s="49">
        <v>15.881828309723714</v>
      </c>
      <c r="BE7" s="49">
        <v>15.501958560085793</v>
      </c>
      <c r="BF7" s="49">
        <v>14.444944131072269</v>
      </c>
      <c r="BG7" s="49">
        <v>13.572490171569651</v>
      </c>
      <c r="BH7" s="49">
        <v>13.019509140448147</v>
      </c>
      <c r="BI7" s="49">
        <v>12.202106263516836</v>
      </c>
      <c r="BJ7" s="49">
        <v>11.083239303854739</v>
      </c>
      <c r="BK7" s="49">
        <v>11.179676183512985</v>
      </c>
      <c r="BL7" s="49">
        <v>11.331076895924681</v>
      </c>
      <c r="BM7" s="49">
        <v>10.447076790865136</v>
      </c>
      <c r="BN7" s="49">
        <v>10.116098880429233</v>
      </c>
      <c r="BO7" s="49">
        <v>10.236472398162217</v>
      </c>
      <c r="BP7" s="49">
        <v>9.111612681509456</v>
      </c>
      <c r="BQ7" s="49">
        <v>8.8047151956520082</v>
      </c>
      <c r="BR7" s="49">
        <v>10.107429057308163</v>
      </c>
      <c r="BS7" s="49">
        <v>11.399979571986879</v>
      </c>
      <c r="BT7" s="49">
        <v>12.706665021325126</v>
      </c>
      <c r="BU7" s="49">
        <v>13.954926853278279</v>
      </c>
      <c r="BV7" s="49">
        <v>14.702688264382507</v>
      </c>
      <c r="BW7" s="49">
        <v>14.527512569859413</v>
      </c>
      <c r="BX7" s="49">
        <v>14.317086678503459</v>
      </c>
      <c r="BY7" s="49">
        <v>13.906399920990028</v>
      </c>
      <c r="BZ7" s="49">
        <v>13.525139707419612</v>
      </c>
      <c r="CA7" s="49">
        <v>13.428786383678338</v>
      </c>
      <c r="CB7" s="49">
        <v>13.437129459218427</v>
      </c>
      <c r="CC7" s="49">
        <v>13.975967135707879</v>
      </c>
      <c r="CD7" s="49">
        <v>13.692884344111715</v>
      </c>
      <c r="CE7" s="49">
        <v>13.854253255422332</v>
      </c>
      <c r="CF7" s="49">
        <v>13.89876372683077</v>
      </c>
      <c r="CG7" s="49">
        <v>14.310422541447162</v>
      </c>
      <c r="CH7" s="49">
        <v>14.214079401740534</v>
      </c>
      <c r="CI7" s="49">
        <v>14.268926248101257</v>
      </c>
      <c r="CJ7" s="49">
        <v>14.2668494409121</v>
      </c>
      <c r="CK7" s="49">
        <v>14.100010166882907</v>
      </c>
      <c r="CL7" s="49">
        <v>13.803265256226402</v>
      </c>
      <c r="CM7" s="49">
        <v>13.409243667769291</v>
      </c>
      <c r="CN7" s="49">
        <v>13.044917210098744</v>
      </c>
      <c r="CO7" s="49">
        <v>12.462149467739327</v>
      </c>
      <c r="CP7" s="49">
        <v>12.174551474158836</v>
      </c>
      <c r="CQ7" s="49">
        <v>11.525508512776996</v>
      </c>
      <c r="CR7" s="49">
        <v>11.3510213619368</v>
      </c>
      <c r="CS7" s="49">
        <v>10.84836882277872</v>
      </c>
      <c r="CT7" s="49">
        <v>10.145083706069</v>
      </c>
      <c r="CU7" s="49">
        <v>9.9168461889053212</v>
      </c>
      <c r="CV7" s="49">
        <v>9.5188207244867016</v>
      </c>
      <c r="CW7" s="49">
        <v>8.9926769188407718</v>
      </c>
    </row>
    <row r="8" spans="1:101" x14ac:dyDescent="0.25">
      <c r="D8" s="40"/>
      <c r="I8" s="763" t="s">
        <v>664</v>
      </c>
      <c r="J8" s="767">
        <v>4.6612244897959174</v>
      </c>
      <c r="K8" s="767">
        <v>5.2885011112025673</v>
      </c>
      <c r="L8" s="767">
        <v>6.0661915294503164</v>
      </c>
      <c r="M8" s="767">
        <v>6.7739963317709391</v>
      </c>
      <c r="N8" s="758">
        <v>7.3814916680148848</v>
      </c>
      <c r="O8" s="758">
        <v>7.1448857873169151</v>
      </c>
      <c r="P8" s="758">
        <v>6.7791796827457524</v>
      </c>
      <c r="Q8" s="758">
        <v>6.5809105205855065</v>
      </c>
      <c r="R8" s="758">
        <v>6.0735194551754352</v>
      </c>
      <c r="S8" s="758">
        <v>6.0331704190369368</v>
      </c>
      <c r="T8" s="758">
        <v>5.5409810000794986</v>
      </c>
      <c r="U8" s="758">
        <v>5.7211060274517607</v>
      </c>
      <c r="V8" s="758">
        <v>5.7966411243895664</v>
      </c>
      <c r="W8" s="758">
        <v>5.823607267476838</v>
      </c>
      <c r="X8" s="758">
        <v>6.1653414312542463</v>
      </c>
      <c r="Y8" s="758">
        <v>6.0914111902665491</v>
      </c>
      <c r="Z8" s="758">
        <v>6.3237807544020033</v>
      </c>
      <c r="AA8" s="758">
        <v>6.3345167338146711</v>
      </c>
      <c r="AB8" s="758">
        <v>6.529236868186322</v>
      </c>
      <c r="AC8" s="758">
        <v>6.3599888769713591</v>
      </c>
      <c r="AD8" s="758">
        <v>7.0700337228452677</v>
      </c>
      <c r="AE8" s="758">
        <v>7.4006792512439761</v>
      </c>
      <c r="AF8" s="758">
        <v>7.8551859099804302</v>
      </c>
      <c r="AG8" s="758">
        <v>8.3261668360566041</v>
      </c>
      <c r="AH8" s="758">
        <v>9.5333745364647733</v>
      </c>
      <c r="AI8" s="758">
        <v>10.259498096495999</v>
      </c>
      <c r="AJ8" s="758">
        <v>10.387955993051536</v>
      </c>
      <c r="AK8" s="758">
        <v>10.269457615357926</v>
      </c>
      <c r="AL8" s="758">
        <v>10.63286313381624</v>
      </c>
      <c r="AM8" s="758">
        <v>10.695390705286796</v>
      </c>
      <c r="AN8" s="758">
        <v>10.79781999848611</v>
      </c>
      <c r="AO8" s="758">
        <v>10.857598420712957</v>
      </c>
      <c r="AP8" s="758">
        <v>11.299024296919837</v>
      </c>
      <c r="AQ8" s="758">
        <v>11.306822552111377</v>
      </c>
      <c r="AR8" s="758">
        <v>11.213382729251805</v>
      </c>
      <c r="AS8" s="758">
        <v>10.7722802470077</v>
      </c>
      <c r="AT8" s="758">
        <v>11.184235699253875</v>
      </c>
      <c r="AU8" s="758">
        <v>10.558294164851542</v>
      </c>
      <c r="AV8" s="758">
        <v>10.547482642182343</v>
      </c>
      <c r="AW8" s="758">
        <v>10.529519172245891</v>
      </c>
      <c r="AX8" s="758">
        <v>11.248721736166344</v>
      </c>
      <c r="AY8" s="49">
        <v>11.172528679059553</v>
      </c>
      <c r="AZ8" s="49">
        <v>10.645475672839043</v>
      </c>
      <c r="BA8" s="49">
        <v>10.870465930920185</v>
      </c>
      <c r="BB8" s="49">
        <v>11.503050051149927</v>
      </c>
      <c r="BC8" s="49">
        <v>11.029327638152626</v>
      </c>
      <c r="BD8" s="49">
        <v>10.797147923190101</v>
      </c>
      <c r="BE8" s="49">
        <v>10.727566389963568</v>
      </c>
      <c r="BF8" s="49">
        <v>10.741340971620247</v>
      </c>
      <c r="BG8" s="49">
        <v>10.02375834370404</v>
      </c>
      <c r="BH8" s="49">
        <v>9.27734375</v>
      </c>
      <c r="BI8" s="49">
        <v>8.8660104838405562</v>
      </c>
      <c r="BJ8" s="49">
        <v>8.3510800121691524</v>
      </c>
      <c r="BK8" s="49">
        <v>7.8892312373996738</v>
      </c>
      <c r="BL8" s="49">
        <v>7.6677676024620931</v>
      </c>
      <c r="BM8" s="49">
        <v>7.3309395571514058</v>
      </c>
      <c r="BN8" s="49">
        <v>7.3583352047308921</v>
      </c>
      <c r="BO8" s="49">
        <v>6.977874121692329</v>
      </c>
      <c r="BP8" s="49">
        <v>5.5686418844313588</v>
      </c>
      <c r="BQ8" s="49">
        <v>5.3732780328840173</v>
      </c>
      <c r="BR8" s="49">
        <v>5.8669264199010938</v>
      </c>
      <c r="BS8" s="49">
        <v>5.647989256136686</v>
      </c>
      <c r="BT8" s="49">
        <v>6.1199600872168221</v>
      </c>
      <c r="BU8" s="49">
        <v>6.9077730937060879</v>
      </c>
      <c r="BV8" s="49">
        <v>8.0923351423685972</v>
      </c>
      <c r="BW8" s="49">
        <v>8.4012144549763015</v>
      </c>
      <c r="BX8" s="49">
        <v>8.7113269322738471</v>
      </c>
      <c r="BY8" s="49">
        <v>8.8931424154304839</v>
      </c>
      <c r="BZ8" s="49">
        <v>9.1557451082536634</v>
      </c>
      <c r="CA8" s="49">
        <v>8.6513716502783282</v>
      </c>
      <c r="CB8" s="49">
        <v>8.2795722913740519</v>
      </c>
      <c r="CC8" s="49">
        <v>9.0009268170829788</v>
      </c>
      <c r="CD8" s="49">
        <v>8.9057301293900188</v>
      </c>
      <c r="CE8" s="49">
        <v>8.5618085618085615</v>
      </c>
      <c r="CF8" s="49">
        <v>8.724842847821126</v>
      </c>
      <c r="CG8" s="49">
        <v>9.3708651150131317</v>
      </c>
      <c r="CH8" s="49">
        <v>9.3713278495887185</v>
      </c>
      <c r="CI8" s="49">
        <v>9.4098530172095423</v>
      </c>
      <c r="CJ8" s="49">
        <v>9.3284852697180209</v>
      </c>
      <c r="CK8" s="49">
        <v>9.7468365158873436</v>
      </c>
      <c r="CL8" s="49">
        <v>9.7116816867378439</v>
      </c>
      <c r="CM8" s="49">
        <v>8.9261794992335783</v>
      </c>
      <c r="CN8" s="49">
        <v>8.4490121916605592</v>
      </c>
      <c r="CO8" s="49">
        <v>8.1256444681467794</v>
      </c>
      <c r="CP8" s="49">
        <v>7.5320864318818526</v>
      </c>
      <c r="CQ8" s="49">
        <v>7.3982891364536192</v>
      </c>
      <c r="CR8" s="49">
        <v>7.2215188143883848</v>
      </c>
      <c r="CS8" s="49">
        <v>6.4425365663857104</v>
      </c>
      <c r="CT8" s="49">
        <v>6.052199675977902</v>
      </c>
      <c r="CU8" s="49">
        <v>5.570496906468998</v>
      </c>
      <c r="CV8" s="49">
        <v>5.2606935799652543</v>
      </c>
      <c r="CW8" s="49">
        <v>4.9693430593576098</v>
      </c>
    </row>
    <row r="9" spans="1:101" x14ac:dyDescent="0.25">
      <c r="D9" s="40"/>
      <c r="I9" s="766" t="s">
        <v>661</v>
      </c>
    </row>
    <row r="10" spans="1:101" x14ac:dyDescent="0.25">
      <c r="D10" s="40"/>
      <c r="I10" s="766" t="s">
        <v>662</v>
      </c>
    </row>
    <row r="11" spans="1:101" x14ac:dyDescent="0.25">
      <c r="D11" s="40"/>
    </row>
    <row r="12" spans="1:101" x14ac:dyDescent="0.25">
      <c r="D12" s="40"/>
    </row>
    <row r="13" spans="1:101" x14ac:dyDescent="0.25">
      <c r="D13" s="40"/>
      <c r="I13" s="763"/>
      <c r="J13" s="763" t="s">
        <v>340</v>
      </c>
      <c r="K13" s="763" t="s">
        <v>375</v>
      </c>
    </row>
    <row r="14" spans="1:101" x14ac:dyDescent="0.25">
      <c r="D14" s="40"/>
      <c r="I14" s="768">
        <v>39508</v>
      </c>
      <c r="J14" s="769">
        <v>7.2854499610439394</v>
      </c>
      <c r="K14" s="770">
        <v>0.83930629613478047</v>
      </c>
      <c r="O14" s="758"/>
      <c r="P14" s="758"/>
    </row>
    <row r="15" spans="1:101" x14ac:dyDescent="0.25">
      <c r="D15" s="40"/>
      <c r="I15" s="768">
        <v>39539</v>
      </c>
      <c r="J15" s="769">
        <v>7.373225311154644</v>
      </c>
      <c r="K15" s="770">
        <v>0.85569201559754038</v>
      </c>
      <c r="O15" s="758"/>
      <c r="P15" s="758"/>
    </row>
    <row r="16" spans="1:101" x14ac:dyDescent="0.25">
      <c r="C16" s="918" t="s">
        <v>1551</v>
      </c>
      <c r="D16" s="918"/>
      <c r="E16" s="918" t="s">
        <v>284</v>
      </c>
      <c r="F16" s="918"/>
      <c r="I16" s="768">
        <v>39569</v>
      </c>
      <c r="J16" s="769">
        <v>7.579771991792744</v>
      </c>
      <c r="K16" s="770">
        <v>0.82078952134252803</v>
      </c>
      <c r="O16" s="758"/>
      <c r="P16" s="758"/>
    </row>
    <row r="17" spans="1:16" ht="15" customHeight="1" x14ac:dyDescent="0.25">
      <c r="D17" s="40"/>
      <c r="I17" s="768">
        <v>39600</v>
      </c>
      <c r="J17" s="769">
        <v>7.4412449701950614</v>
      </c>
      <c r="K17" s="770">
        <v>0.7659690259509504</v>
      </c>
      <c r="O17" s="758"/>
      <c r="P17" s="758"/>
    </row>
    <row r="18" spans="1:16" ht="24" customHeight="1" thickBot="1" x14ac:dyDescent="0.3">
      <c r="A18" s="919" t="s">
        <v>665</v>
      </c>
      <c r="B18" s="919"/>
      <c r="C18" s="919"/>
      <c r="D18" s="40"/>
      <c r="E18" s="710" t="s">
        <v>600</v>
      </c>
      <c r="F18" s="52"/>
      <c r="I18" s="768">
        <v>39630</v>
      </c>
      <c r="J18" s="769">
        <v>7.4816163168378997</v>
      </c>
      <c r="K18" s="770">
        <v>0.71075414228273115</v>
      </c>
      <c r="O18" s="758"/>
      <c r="P18" s="758"/>
    </row>
    <row r="19" spans="1:16" x14ac:dyDescent="0.25">
      <c r="D19" s="40"/>
      <c r="I19" s="768">
        <v>39661</v>
      </c>
      <c r="J19" s="769">
        <v>7.5340663314516085</v>
      </c>
      <c r="K19" s="770">
        <v>0.71049071609583758</v>
      </c>
      <c r="O19" s="758"/>
      <c r="P19" s="758"/>
    </row>
    <row r="20" spans="1:16" x14ac:dyDescent="0.25">
      <c r="D20" s="40"/>
      <c r="I20" s="768">
        <v>39692</v>
      </c>
      <c r="J20" s="769">
        <v>7.5746076264201889</v>
      </c>
      <c r="K20" s="770">
        <v>0.66326352754719153</v>
      </c>
      <c r="O20" s="758"/>
      <c r="P20" s="758"/>
    </row>
    <row r="21" spans="1:16" x14ac:dyDescent="0.25">
      <c r="D21" s="40"/>
      <c r="I21" s="768">
        <v>39722</v>
      </c>
      <c r="J21" s="769">
        <v>7.7879682671935386</v>
      </c>
      <c r="K21" s="770">
        <v>0.63520516573798302</v>
      </c>
      <c r="O21" s="758"/>
      <c r="P21" s="758"/>
    </row>
    <row r="22" spans="1:16" x14ac:dyDescent="0.25">
      <c r="D22" s="40"/>
      <c r="I22" s="768">
        <v>39753</v>
      </c>
      <c r="J22" s="769">
        <v>8.1270636004221473</v>
      </c>
      <c r="K22" s="770">
        <v>0.55515517940358627</v>
      </c>
      <c r="O22" s="758"/>
      <c r="P22" s="758"/>
    </row>
    <row r="23" spans="1:16" x14ac:dyDescent="0.25">
      <c r="I23" s="768">
        <v>39783</v>
      </c>
      <c r="J23" s="769">
        <v>8.4205650288201923</v>
      </c>
      <c r="K23" s="770">
        <v>0.50176883582980458</v>
      </c>
      <c r="O23" s="758"/>
      <c r="P23" s="758"/>
    </row>
    <row r="24" spans="1:16" x14ac:dyDescent="0.25">
      <c r="I24" s="768">
        <v>39814</v>
      </c>
      <c r="J24" s="769">
        <v>8.7144327117694438</v>
      </c>
      <c r="K24" s="770">
        <v>0.41974170449166287</v>
      </c>
      <c r="O24" s="758"/>
      <c r="P24" s="758"/>
    </row>
    <row r="25" spans="1:16" x14ac:dyDescent="0.25">
      <c r="I25" s="768">
        <v>39845</v>
      </c>
      <c r="J25" s="769">
        <v>9.4041384554652705</v>
      </c>
      <c r="K25" s="770">
        <v>0.39147256787360385</v>
      </c>
      <c r="O25" s="758"/>
      <c r="P25" s="758"/>
    </row>
    <row r="26" spans="1:16" x14ac:dyDescent="0.25">
      <c r="I26" s="768">
        <v>39873</v>
      </c>
      <c r="J26" s="769">
        <v>10.064496638137486</v>
      </c>
      <c r="K26" s="770">
        <v>0.33188017763545458</v>
      </c>
      <c r="O26" s="758"/>
      <c r="P26" s="758"/>
    </row>
    <row r="27" spans="1:16" x14ac:dyDescent="0.25">
      <c r="I27" s="768">
        <v>39904</v>
      </c>
      <c r="J27" s="769">
        <v>10.841666708383318</v>
      </c>
      <c r="K27" s="770">
        <v>0.29581711059460702</v>
      </c>
      <c r="O27" s="758"/>
      <c r="P27" s="758"/>
    </row>
    <row r="28" spans="1:16" x14ac:dyDescent="0.25">
      <c r="I28" s="768">
        <v>39934</v>
      </c>
      <c r="J28" s="769">
        <v>11.519412310915541</v>
      </c>
      <c r="K28" s="770">
        <v>0.25671470984879446</v>
      </c>
      <c r="O28" s="758"/>
      <c r="P28" s="758"/>
    </row>
    <row r="29" spans="1:16" x14ac:dyDescent="0.25">
      <c r="I29" s="768">
        <v>39965</v>
      </c>
      <c r="J29" s="769">
        <v>11.815046521098623</v>
      </c>
      <c r="K29" s="770">
        <v>0.23149699422214948</v>
      </c>
      <c r="O29" s="758"/>
      <c r="P29" s="758"/>
    </row>
    <row r="30" spans="1:16" x14ac:dyDescent="0.25">
      <c r="I30" s="768">
        <v>39995</v>
      </c>
      <c r="J30" s="769">
        <v>12.072940769609923</v>
      </c>
      <c r="K30" s="770">
        <v>0.23147750826550065</v>
      </c>
      <c r="O30" s="758"/>
      <c r="P30" s="758"/>
    </row>
    <row r="31" spans="1:16" x14ac:dyDescent="0.25">
      <c r="B31" s="142"/>
      <c r="C31" s="918" t="s">
        <v>1552</v>
      </c>
      <c r="D31" s="918"/>
      <c r="E31" s="918" t="s">
        <v>522</v>
      </c>
      <c r="F31" s="918"/>
      <c r="I31" s="768">
        <v>40026</v>
      </c>
      <c r="J31" s="769">
        <v>12.242102929270812</v>
      </c>
      <c r="K31" s="770">
        <v>0.22603248336714085</v>
      </c>
      <c r="O31" s="758"/>
      <c r="P31" s="758"/>
    </row>
    <row r="32" spans="1:16" x14ac:dyDescent="0.25">
      <c r="I32" s="768">
        <v>40057</v>
      </c>
      <c r="J32" s="769">
        <v>12.484239619394359</v>
      </c>
      <c r="K32" s="770">
        <v>0.22440597302012533</v>
      </c>
      <c r="O32" s="758"/>
      <c r="P32" s="758"/>
    </row>
    <row r="33" spans="3:16" x14ac:dyDescent="0.25">
      <c r="I33" s="768">
        <v>40087</v>
      </c>
      <c r="J33" s="769">
        <v>12.643118564387612</v>
      </c>
      <c r="K33" s="770">
        <v>0.21008173689428122</v>
      </c>
      <c r="O33" s="758"/>
      <c r="P33" s="758"/>
    </row>
    <row r="34" spans="3:16" x14ac:dyDescent="0.25">
      <c r="I34" s="768">
        <v>40118</v>
      </c>
      <c r="J34" s="769">
        <v>12.710789253239113</v>
      </c>
      <c r="K34" s="770">
        <v>0.21452451946845402</v>
      </c>
      <c r="O34" s="758"/>
      <c r="P34" s="758"/>
    </row>
    <row r="35" spans="3:16" x14ac:dyDescent="0.25">
      <c r="I35" s="768">
        <v>40148</v>
      </c>
      <c r="J35" s="769">
        <v>12.716805992029997</v>
      </c>
      <c r="K35" s="770">
        <v>0.24467585766665151</v>
      </c>
      <c r="O35" s="758"/>
      <c r="P35" s="758"/>
    </row>
    <row r="36" spans="3:16" x14ac:dyDescent="0.25">
      <c r="I36" s="768">
        <v>40179</v>
      </c>
      <c r="J36" s="769">
        <v>12.601328118027007</v>
      </c>
      <c r="K36" s="770">
        <v>0.24082031780363866</v>
      </c>
      <c r="O36" s="758"/>
      <c r="P36" s="758"/>
    </row>
    <row r="37" spans="3:16" x14ac:dyDescent="0.25">
      <c r="I37" s="768">
        <v>40210</v>
      </c>
      <c r="J37" s="769">
        <v>12.62692626291358</v>
      </c>
      <c r="K37" s="770">
        <v>0.22618903849779656</v>
      </c>
      <c r="O37" s="758"/>
      <c r="P37" s="758"/>
    </row>
    <row r="38" spans="3:16" x14ac:dyDescent="0.25">
      <c r="I38" s="768">
        <v>40238</v>
      </c>
      <c r="J38" s="769">
        <v>12.586542137973508</v>
      </c>
      <c r="K38" s="770">
        <v>0.24806862596188786</v>
      </c>
      <c r="O38" s="758"/>
      <c r="P38" s="758"/>
    </row>
    <row r="39" spans="3:16" x14ac:dyDescent="0.25">
      <c r="I39" s="768">
        <v>40269</v>
      </c>
      <c r="J39" s="769">
        <v>12.44410815571001</v>
      </c>
      <c r="K39" s="770">
        <v>0.24029494971835852</v>
      </c>
      <c r="O39" s="758"/>
      <c r="P39" s="758"/>
    </row>
    <row r="40" spans="3:16" x14ac:dyDescent="0.25">
      <c r="I40" s="768">
        <v>40299</v>
      </c>
      <c r="J40" s="769">
        <v>12.380804414170814</v>
      </c>
      <c r="K40" s="770">
        <v>0.23134096748622571</v>
      </c>
      <c r="O40" s="758"/>
      <c r="P40" s="758"/>
    </row>
    <row r="41" spans="3:16" x14ac:dyDescent="0.25">
      <c r="I41" s="768">
        <v>40330</v>
      </c>
      <c r="J41" s="769">
        <v>12.368889073945185</v>
      </c>
      <c r="K41" s="770">
        <v>0.23601688867717821</v>
      </c>
      <c r="O41" s="758"/>
      <c r="P41" s="758"/>
    </row>
    <row r="42" spans="3:16" x14ac:dyDescent="0.25">
      <c r="I42" s="768">
        <v>40360</v>
      </c>
      <c r="J42" s="769">
        <v>12.36875050203261</v>
      </c>
      <c r="K42" s="770">
        <v>0.24204591825078811</v>
      </c>
      <c r="O42" s="758"/>
      <c r="P42" s="758"/>
    </row>
    <row r="43" spans="3:16" x14ac:dyDescent="0.25">
      <c r="I43" s="768">
        <v>40391</v>
      </c>
      <c r="J43" s="769">
        <v>12.403705823151459</v>
      </c>
      <c r="K43" s="770">
        <v>0.23739085230417636</v>
      </c>
      <c r="O43" s="758"/>
      <c r="P43" s="758"/>
    </row>
    <row r="44" spans="3:16" x14ac:dyDescent="0.25">
      <c r="I44" s="768">
        <v>40422</v>
      </c>
      <c r="J44" s="769">
        <v>12.470407204599985</v>
      </c>
      <c r="K44" s="770">
        <v>0.24405664181451117</v>
      </c>
      <c r="O44" s="758"/>
      <c r="P44" s="758"/>
    </row>
    <row r="45" spans="3:16" x14ac:dyDescent="0.25">
      <c r="C45" s="147"/>
      <c r="E45" s="918"/>
      <c r="F45" s="918"/>
      <c r="I45" s="768">
        <v>40452</v>
      </c>
      <c r="J45" s="769">
        <v>12.498544462567656</v>
      </c>
      <c r="K45" s="770">
        <v>0.24336072904832728</v>
      </c>
      <c r="O45" s="758"/>
      <c r="P45" s="758"/>
    </row>
    <row r="46" spans="3:16" x14ac:dyDescent="0.25">
      <c r="I46" s="768">
        <v>40483</v>
      </c>
      <c r="J46" s="769">
        <v>12.475146279198933</v>
      </c>
      <c r="K46" s="770">
        <v>0.29216994349001035</v>
      </c>
      <c r="O46" s="758"/>
      <c r="P46" s="758"/>
    </row>
    <row r="47" spans="3:16" x14ac:dyDescent="0.25">
      <c r="I47" s="768">
        <v>40513</v>
      </c>
      <c r="J47" s="769">
        <v>12.49569093777561</v>
      </c>
      <c r="K47" s="770">
        <v>0.30585980216892844</v>
      </c>
      <c r="O47" s="758"/>
      <c r="P47" s="758"/>
    </row>
    <row r="48" spans="3:16" x14ac:dyDescent="0.25">
      <c r="I48" s="768">
        <v>40544</v>
      </c>
      <c r="J48" s="769">
        <v>12.671207102321965</v>
      </c>
      <c r="K48" s="770">
        <v>0.32138309486633865</v>
      </c>
      <c r="O48" s="758"/>
      <c r="P48" s="758"/>
    </row>
    <row r="49" spans="9:16" x14ac:dyDescent="0.25">
      <c r="I49" s="768">
        <v>40575</v>
      </c>
      <c r="J49" s="769">
        <v>12.784836038317065</v>
      </c>
      <c r="K49" s="770">
        <v>0.3202550910168448</v>
      </c>
      <c r="O49" s="758"/>
      <c r="P49" s="758"/>
    </row>
    <row r="50" spans="9:16" x14ac:dyDescent="0.25">
      <c r="I50" s="768">
        <v>40603</v>
      </c>
      <c r="J50" s="769">
        <v>12.833918047142795</v>
      </c>
      <c r="K50" s="770">
        <v>0.34708018172206351</v>
      </c>
      <c r="O50" s="758"/>
      <c r="P50" s="758"/>
    </row>
    <row r="51" spans="9:16" x14ac:dyDescent="0.25">
      <c r="I51" s="768">
        <v>40634</v>
      </c>
      <c r="J51" s="769">
        <v>12.888044895095833</v>
      </c>
      <c r="K51" s="770">
        <v>0.3303744741073063</v>
      </c>
      <c r="O51" s="758"/>
      <c r="P51" s="758"/>
    </row>
    <row r="52" spans="9:16" x14ac:dyDescent="0.25">
      <c r="I52" s="768">
        <v>40664</v>
      </c>
      <c r="J52" s="769">
        <v>12.996050961834978</v>
      </c>
      <c r="K52" s="770">
        <v>0.33023313958791389</v>
      </c>
      <c r="O52" s="758"/>
      <c r="P52" s="758"/>
    </row>
    <row r="53" spans="9:16" x14ac:dyDescent="0.25">
      <c r="I53" s="768">
        <v>40695</v>
      </c>
      <c r="J53" s="769">
        <v>13.04968461101911</v>
      </c>
      <c r="K53" s="770">
        <v>0.32465843270523126</v>
      </c>
      <c r="O53" s="758"/>
      <c r="P53" s="758"/>
    </row>
    <row r="54" spans="9:16" x14ac:dyDescent="0.25">
      <c r="I54" s="768">
        <v>40725</v>
      </c>
      <c r="J54" s="769">
        <v>13.253788731389074</v>
      </c>
      <c r="K54" s="770">
        <v>0.25836565781359849</v>
      </c>
      <c r="O54" s="758"/>
      <c r="P54" s="758"/>
    </row>
    <row r="55" spans="9:16" x14ac:dyDescent="0.25">
      <c r="I55" s="768">
        <v>40756</v>
      </c>
      <c r="J55" s="769">
        <v>13.350526323817494</v>
      </c>
      <c r="K55" s="770">
        <v>0.25674524155678136</v>
      </c>
      <c r="O55" s="758"/>
      <c r="P55" s="758"/>
    </row>
    <row r="56" spans="9:16" x14ac:dyDescent="0.25">
      <c r="I56" s="768">
        <v>40787</v>
      </c>
      <c r="J56" s="769">
        <v>13.424141651072222</v>
      </c>
      <c r="K56" s="770">
        <v>0.30784693701539584</v>
      </c>
      <c r="O56" s="758"/>
      <c r="P56" s="758"/>
    </row>
    <row r="57" spans="9:16" x14ac:dyDescent="0.25">
      <c r="I57" s="768">
        <v>40817</v>
      </c>
      <c r="J57" s="769">
        <v>13.472077153765373</v>
      </c>
      <c r="K57" s="770">
        <v>0.30750035620551469</v>
      </c>
      <c r="O57" s="758"/>
      <c r="P57" s="758"/>
    </row>
    <row r="58" spans="9:16" x14ac:dyDescent="0.25">
      <c r="I58" s="768">
        <v>40848</v>
      </c>
      <c r="J58" s="769">
        <v>13.521047939110661</v>
      </c>
      <c r="K58" s="770">
        <v>0.30603878528887524</v>
      </c>
      <c r="O58" s="758"/>
      <c r="P58" s="758"/>
    </row>
    <row r="59" spans="9:16" x14ac:dyDescent="0.25">
      <c r="I59" s="768">
        <v>40878</v>
      </c>
      <c r="J59" s="769">
        <v>13.566065205336795</v>
      </c>
      <c r="K59" s="770">
        <v>0.28586191469837086</v>
      </c>
      <c r="O59" s="758"/>
      <c r="P59" s="758"/>
    </row>
    <row r="60" spans="9:16" x14ac:dyDescent="0.25">
      <c r="I60" s="768">
        <v>40909</v>
      </c>
      <c r="J60" s="769">
        <v>13.37528516352975</v>
      </c>
      <c r="K60" s="770">
        <v>0.28842386010956128</v>
      </c>
      <c r="O60" s="758"/>
      <c r="P60" s="758"/>
    </row>
    <row r="61" spans="9:16" x14ac:dyDescent="0.25">
      <c r="I61" s="768">
        <v>40940</v>
      </c>
      <c r="J61" s="769">
        <v>13.388896991396132</v>
      </c>
      <c r="K61" s="770">
        <v>0.26369461076835582</v>
      </c>
      <c r="O61" s="758"/>
      <c r="P61" s="758"/>
    </row>
    <row r="62" spans="9:16" x14ac:dyDescent="0.25">
      <c r="I62" s="768">
        <v>40969</v>
      </c>
      <c r="J62" s="769">
        <v>13.413610257837147</v>
      </c>
      <c r="K62" s="770">
        <v>0.2355519590699727</v>
      </c>
      <c r="O62" s="758"/>
      <c r="P62" s="758"/>
    </row>
    <row r="63" spans="9:16" x14ac:dyDescent="0.25">
      <c r="I63" s="768">
        <v>41000</v>
      </c>
      <c r="J63" s="769">
        <v>13.383403738411531</v>
      </c>
      <c r="K63" s="770">
        <v>0.21971836814759976</v>
      </c>
      <c r="O63" s="758"/>
      <c r="P63" s="758"/>
    </row>
    <row r="64" spans="9:16" x14ac:dyDescent="0.25">
      <c r="I64" s="768">
        <v>41030</v>
      </c>
      <c r="J64" s="769">
        <v>13.358291253299958</v>
      </c>
      <c r="K64" s="770">
        <v>0.20518814342970698</v>
      </c>
      <c r="O64" s="758"/>
      <c r="P64" s="758"/>
    </row>
    <row r="65" spans="9:16" x14ac:dyDescent="0.25">
      <c r="I65" s="768">
        <v>41061</v>
      </c>
      <c r="J65" s="769">
        <v>13.426593618124896</v>
      </c>
      <c r="K65" s="770">
        <v>0.19618338681707134</v>
      </c>
      <c r="O65" s="758"/>
      <c r="P65" s="758"/>
    </row>
    <row r="66" spans="9:16" x14ac:dyDescent="0.25">
      <c r="I66" s="768">
        <v>41091</v>
      </c>
      <c r="J66" s="769">
        <v>13.423441225822044</v>
      </c>
      <c r="K66" s="770">
        <v>0.19167794787990267</v>
      </c>
      <c r="O66" s="758"/>
      <c r="P66" s="758"/>
    </row>
    <row r="67" spans="9:16" x14ac:dyDescent="0.25">
      <c r="I67" s="768">
        <v>41122</v>
      </c>
      <c r="J67" s="769">
        <v>13.406414730591306</v>
      </c>
      <c r="K67" s="770">
        <v>0.1918731462323395</v>
      </c>
      <c r="O67" s="758"/>
      <c r="P67" s="758"/>
    </row>
    <row r="68" spans="9:16" x14ac:dyDescent="0.25">
      <c r="I68" s="768">
        <v>41153</v>
      </c>
      <c r="J68" s="769">
        <v>13.505685761945397</v>
      </c>
      <c r="K68" s="770">
        <v>0.16476004486147983</v>
      </c>
      <c r="O68" s="758"/>
      <c r="P68" s="758"/>
    </row>
    <row r="69" spans="9:16" x14ac:dyDescent="0.25">
      <c r="I69" s="768">
        <v>41183</v>
      </c>
      <c r="J69" s="769">
        <v>13.829206017169543</v>
      </c>
      <c r="K69" s="770">
        <v>0.1546432586024124</v>
      </c>
      <c r="O69" s="758"/>
      <c r="P69" s="758"/>
    </row>
    <row r="70" spans="9:16" x14ac:dyDescent="0.25">
      <c r="I70" s="768">
        <v>41214</v>
      </c>
      <c r="J70" s="769">
        <v>14.06435428848626</v>
      </c>
      <c r="K70" s="770">
        <v>0.15237744422211308</v>
      </c>
      <c r="O70" s="758"/>
      <c r="P70" s="758"/>
    </row>
    <row r="71" spans="9:16" x14ac:dyDescent="0.25">
      <c r="I71" s="768">
        <v>41244</v>
      </c>
      <c r="J71" s="769">
        <v>14.379496318167181</v>
      </c>
      <c r="K71" s="770">
        <v>0.18551674560340314</v>
      </c>
      <c r="O71" s="758"/>
      <c r="P71" s="758"/>
    </row>
    <row r="72" spans="9:16" x14ac:dyDescent="0.25">
      <c r="I72" s="768">
        <v>41275</v>
      </c>
      <c r="J72" s="769">
        <v>14.483328499865339</v>
      </c>
      <c r="K72" s="770">
        <v>0.21239691492704005</v>
      </c>
      <c r="O72" s="758"/>
      <c r="P72" s="758"/>
    </row>
    <row r="73" spans="9:16" x14ac:dyDescent="0.25">
      <c r="I73" s="768">
        <v>41306</v>
      </c>
      <c r="J73" s="769">
        <v>14.377844912693687</v>
      </c>
      <c r="K73" s="770">
        <v>0.21615662820511078</v>
      </c>
      <c r="O73" s="758"/>
      <c r="P73" s="758"/>
    </row>
    <row r="74" spans="9:16" x14ac:dyDescent="0.25">
      <c r="I74" s="768">
        <v>41334</v>
      </c>
      <c r="J74" s="769">
        <v>14.420965422716952</v>
      </c>
      <c r="K74" s="770">
        <v>0.21285219077900661</v>
      </c>
      <c r="O74" s="758"/>
      <c r="P74" s="758"/>
    </row>
    <row r="75" spans="9:16" x14ac:dyDescent="0.25">
      <c r="I75" s="768">
        <v>41365</v>
      </c>
      <c r="J75" s="769">
        <v>14.475285212119424</v>
      </c>
      <c r="K75" s="770">
        <v>0.20885515381191821</v>
      </c>
      <c r="O75" s="758"/>
      <c r="P75" s="758"/>
    </row>
    <row r="76" spans="9:16" x14ac:dyDescent="0.25">
      <c r="I76" s="768">
        <v>41395</v>
      </c>
      <c r="J76" s="769">
        <v>14.443200516519841</v>
      </c>
      <c r="K76" s="770">
        <v>0.18799775717849818</v>
      </c>
      <c r="O76" s="758"/>
      <c r="P76" s="758"/>
    </row>
    <row r="77" spans="9:16" x14ac:dyDescent="0.25">
      <c r="I77" s="768">
        <v>41426</v>
      </c>
      <c r="J77" s="769">
        <v>14.34165145013446</v>
      </c>
      <c r="K77" s="770">
        <v>0.18938608513648245</v>
      </c>
      <c r="O77" s="758"/>
      <c r="P77" s="758"/>
    </row>
    <row r="78" spans="9:16" x14ac:dyDescent="0.25">
      <c r="I78" s="768">
        <v>41456</v>
      </c>
      <c r="J78" s="769">
        <v>14.13397928961456</v>
      </c>
      <c r="K78" s="770">
        <v>0.19573145642137713</v>
      </c>
      <c r="O78" s="758"/>
      <c r="P78" s="758"/>
    </row>
    <row r="79" spans="9:16" x14ac:dyDescent="0.25">
      <c r="I79" s="768">
        <v>41487</v>
      </c>
      <c r="J79" s="769">
        <v>13.86898478157892</v>
      </c>
      <c r="K79" s="770">
        <v>0.17503701485912521</v>
      </c>
      <c r="O79" s="758"/>
      <c r="P79" s="758"/>
    </row>
    <row r="80" spans="9:16" x14ac:dyDescent="0.25">
      <c r="I80" s="768">
        <v>41518</v>
      </c>
      <c r="J80" s="769">
        <v>13.880403118766981</v>
      </c>
      <c r="K80" s="770">
        <v>0.18986850933593924</v>
      </c>
      <c r="O80" s="758"/>
      <c r="P80" s="758"/>
    </row>
    <row r="81" spans="9:16" x14ac:dyDescent="0.25">
      <c r="I81" s="768">
        <v>41548</v>
      </c>
      <c r="J81" s="769">
        <v>13.759420189107855</v>
      </c>
      <c r="K81" s="770">
        <v>0.21389134857724568</v>
      </c>
      <c r="O81" s="758"/>
      <c r="P81" s="758"/>
    </row>
    <row r="82" spans="9:16" x14ac:dyDescent="0.25">
      <c r="I82" s="768">
        <v>41579</v>
      </c>
      <c r="J82" s="769">
        <v>13.58159298709376</v>
      </c>
      <c r="K82" s="770">
        <v>0.2443830901630053</v>
      </c>
      <c r="O82" s="758"/>
      <c r="P82" s="758"/>
    </row>
    <row r="83" spans="9:16" x14ac:dyDescent="0.25">
      <c r="I83" s="768">
        <v>41609</v>
      </c>
      <c r="J83" s="769">
        <v>13.427756689649097</v>
      </c>
      <c r="K83" s="770">
        <v>0.26616025256412462</v>
      </c>
      <c r="O83" s="758"/>
      <c r="P83" s="758"/>
    </row>
    <row r="84" spans="9:16" x14ac:dyDescent="0.25">
      <c r="I84" s="768">
        <v>41640</v>
      </c>
      <c r="J84" s="769">
        <v>13.330522895119303</v>
      </c>
      <c r="K84" s="770">
        <v>0.23747470106218099</v>
      </c>
      <c r="O84" s="758"/>
      <c r="P84" s="758"/>
    </row>
    <row r="85" spans="9:16" x14ac:dyDescent="0.25">
      <c r="I85" s="768">
        <v>41671</v>
      </c>
      <c r="J85" s="769">
        <v>13.199114923147754</v>
      </c>
      <c r="K85" s="770">
        <v>0.23693303669634772</v>
      </c>
      <c r="O85" s="758"/>
      <c r="P85" s="758"/>
    </row>
    <row r="86" spans="9:16" x14ac:dyDescent="0.25">
      <c r="I86" s="768">
        <v>41699</v>
      </c>
      <c r="J86" s="769">
        <v>13.112140390869332</v>
      </c>
      <c r="K86" s="770">
        <v>0.22628211207585319</v>
      </c>
      <c r="O86" s="758"/>
      <c r="P86" s="758"/>
    </row>
    <row r="87" spans="9:16" x14ac:dyDescent="0.25">
      <c r="I87" s="768">
        <v>41730</v>
      </c>
      <c r="J87" s="769">
        <v>13.034659203965365</v>
      </c>
      <c r="K87" s="770">
        <v>0.24605001901147322</v>
      </c>
      <c r="O87" s="758"/>
      <c r="P87" s="758"/>
    </row>
    <row r="88" spans="9:16" x14ac:dyDescent="0.25">
      <c r="I88" s="768">
        <v>41760</v>
      </c>
      <c r="J88" s="769">
        <v>12.997859762220246</v>
      </c>
      <c r="K88" s="770">
        <v>0.27656948364949041</v>
      </c>
      <c r="O88" s="758"/>
      <c r="P88" s="758"/>
    </row>
    <row r="89" spans="9:16" x14ac:dyDescent="0.25">
      <c r="I89" s="768">
        <v>41791</v>
      </c>
      <c r="J89" s="769">
        <v>12.871493691929455</v>
      </c>
      <c r="K89" s="770">
        <v>0.27869508578913316</v>
      </c>
      <c r="O89" s="758"/>
      <c r="P89" s="758"/>
    </row>
    <row r="90" spans="9:16" x14ac:dyDescent="0.25">
      <c r="I90" s="768">
        <v>41821</v>
      </c>
      <c r="J90" s="769">
        <v>12.775275180080921</v>
      </c>
      <c r="K90" s="770">
        <v>0.29136896409900348</v>
      </c>
      <c r="O90" s="758"/>
      <c r="P90" s="758"/>
    </row>
    <row r="91" spans="9:16" x14ac:dyDescent="0.25">
      <c r="I91" s="768">
        <v>41852</v>
      </c>
      <c r="J91" s="769">
        <v>12.667279945394725</v>
      </c>
      <c r="K91" s="770">
        <v>0.33965577618995368</v>
      </c>
      <c r="O91" s="758"/>
      <c r="P91" s="758"/>
    </row>
    <row r="92" spans="9:16" x14ac:dyDescent="0.25">
      <c r="I92" s="768">
        <v>41883</v>
      </c>
      <c r="J92" s="769">
        <v>12.444916181052694</v>
      </c>
      <c r="K92" s="770">
        <v>0.34155455153097425</v>
      </c>
      <c r="O92" s="758"/>
      <c r="P92" s="758"/>
    </row>
    <row r="93" spans="9:16" x14ac:dyDescent="0.25">
      <c r="I93" s="768">
        <v>41913</v>
      </c>
      <c r="J93" s="769">
        <v>12.400192814427154</v>
      </c>
      <c r="K93" s="770">
        <v>0.3733635564406268</v>
      </c>
      <c r="O93" s="758"/>
      <c r="P93" s="758"/>
    </row>
    <row r="94" spans="9:16" x14ac:dyDescent="0.25">
      <c r="I94" s="768">
        <v>41944</v>
      </c>
      <c r="J94" s="769">
        <v>12.310813797663437</v>
      </c>
      <c r="K94" s="770">
        <v>0.42477213828072691</v>
      </c>
      <c r="O94" s="758"/>
      <c r="P94" s="758"/>
    </row>
    <row r="95" spans="9:16" x14ac:dyDescent="0.25">
      <c r="I95" s="768">
        <v>41974</v>
      </c>
      <c r="J95" s="769">
        <v>12.226934425619053</v>
      </c>
      <c r="K95" s="770">
        <v>0.42550942500311983</v>
      </c>
      <c r="O95" s="758"/>
      <c r="P95" s="758"/>
    </row>
    <row r="96" spans="9:16" x14ac:dyDescent="0.25">
      <c r="I96" s="768">
        <v>42005</v>
      </c>
      <c r="J96" s="769">
        <v>12.17326903066774</v>
      </c>
      <c r="K96" s="770">
        <v>0.46693728468538248</v>
      </c>
      <c r="O96" s="758"/>
      <c r="P96" s="758"/>
    </row>
    <row r="97" spans="9:16" x14ac:dyDescent="0.25">
      <c r="I97" s="768">
        <v>42036</v>
      </c>
      <c r="J97" s="769">
        <v>12.061718541024639</v>
      </c>
      <c r="K97" s="770">
        <v>0.51313787629482177</v>
      </c>
      <c r="O97" s="758"/>
      <c r="P97" s="758"/>
    </row>
    <row r="98" spans="9:16" x14ac:dyDescent="0.25">
      <c r="I98" s="768">
        <v>42064</v>
      </c>
      <c r="J98" s="769">
        <v>11.939625472864719</v>
      </c>
      <c r="K98" s="770">
        <v>0.61910507134683823</v>
      </c>
      <c r="O98" s="758"/>
      <c r="P98" s="758"/>
    </row>
    <row r="99" spans="9:16" x14ac:dyDescent="0.25">
      <c r="I99" s="768">
        <v>42095</v>
      </c>
      <c r="J99" s="769">
        <v>11.809732598948912</v>
      </c>
      <c r="K99" s="770">
        <v>0.62833390533118061</v>
      </c>
      <c r="O99" s="758"/>
      <c r="P99" s="758"/>
    </row>
    <row r="100" spans="9:16" x14ac:dyDescent="0.25">
      <c r="I100" s="768">
        <v>42125</v>
      </c>
      <c r="J100" s="769">
        <v>11.698662828583849</v>
      </c>
      <c r="K100" s="770">
        <v>0.77363018569988729</v>
      </c>
      <c r="O100" s="758"/>
      <c r="P100" s="758"/>
    </row>
    <row r="101" spans="9:16" x14ac:dyDescent="0.25">
      <c r="I101" s="768">
        <v>42156</v>
      </c>
      <c r="J101" s="769">
        <v>11.637067114139237</v>
      </c>
      <c r="K101" s="764">
        <v>0.88933104875653157</v>
      </c>
      <c r="O101" s="758"/>
      <c r="P101" s="758"/>
    </row>
    <row r="102" spans="9:16" x14ac:dyDescent="0.25">
      <c r="I102" s="768">
        <v>42186</v>
      </c>
      <c r="J102" s="769">
        <v>11.517443018177218</v>
      </c>
      <c r="K102" s="764">
        <v>0.94560491902363175</v>
      </c>
      <c r="O102" s="758"/>
      <c r="P102" s="758"/>
    </row>
    <row r="103" spans="9:16" x14ac:dyDescent="0.25">
      <c r="I103" s="768">
        <v>42217</v>
      </c>
      <c r="J103" s="769">
        <v>11.372332683124869</v>
      </c>
      <c r="K103" s="764">
        <v>0.98921473057449316</v>
      </c>
      <c r="O103" s="758"/>
      <c r="P103" s="758"/>
    </row>
    <row r="104" spans="9:16" x14ac:dyDescent="0.25">
      <c r="I104" s="768">
        <v>42248</v>
      </c>
      <c r="J104" s="769">
        <v>11.325443282365535</v>
      </c>
      <c r="K104" s="764">
        <v>1.0884196486411386</v>
      </c>
      <c r="O104" s="758"/>
      <c r="P104" s="758"/>
    </row>
    <row r="105" spans="9:16" x14ac:dyDescent="0.25">
      <c r="I105" s="768">
        <v>42278</v>
      </c>
      <c r="J105" s="769">
        <v>10.994265725309912</v>
      </c>
      <c r="K105" s="764">
        <v>1.1571357409453789</v>
      </c>
      <c r="O105" s="758"/>
      <c r="P105" s="758"/>
    </row>
    <row r="106" spans="9:16" x14ac:dyDescent="0.25">
      <c r="I106" s="768">
        <v>42309</v>
      </c>
      <c r="J106" s="769">
        <v>10.825776929437737</v>
      </c>
      <c r="K106" s="764">
        <v>1.3578750357050526</v>
      </c>
    </row>
    <row r="107" spans="9:16" x14ac:dyDescent="0.25">
      <c r="I107" s="768">
        <v>42339</v>
      </c>
      <c r="J107" s="769">
        <v>10.573514436686132</v>
      </c>
      <c r="K107" s="764">
        <v>1.1284022329227006</v>
      </c>
    </row>
    <row r="108" spans="9:16" x14ac:dyDescent="0.25">
      <c r="I108" s="768">
        <v>42370</v>
      </c>
      <c r="J108" s="769">
        <v>10.235389706238522</v>
      </c>
      <c r="K108" s="764">
        <v>1.2741840503633632</v>
      </c>
    </row>
    <row r="109" spans="9:16" x14ac:dyDescent="0.25">
      <c r="I109" s="768">
        <v>42401</v>
      </c>
      <c r="J109" s="767">
        <v>9.8674577192361461</v>
      </c>
      <c r="K109" s="767">
        <v>1.3368003006432341</v>
      </c>
    </row>
    <row r="110" spans="9:16" x14ac:dyDescent="0.25">
      <c r="I110" s="768">
        <v>42430</v>
      </c>
      <c r="J110" s="767">
        <v>9.7572657044401883</v>
      </c>
      <c r="K110" s="767">
        <v>1.3562066594228681</v>
      </c>
    </row>
    <row r="111" spans="9:16" x14ac:dyDescent="0.25">
      <c r="I111" s="768">
        <v>42461</v>
      </c>
      <c r="J111" s="767">
        <v>9.8432128533511349</v>
      </c>
      <c r="K111" s="767">
        <v>1.4758388929882631</v>
      </c>
    </row>
    <row r="112" spans="9:16" x14ac:dyDescent="0.25">
      <c r="I112" s="768">
        <v>42491</v>
      </c>
      <c r="J112" s="767">
        <v>9.6941328848269865</v>
      </c>
      <c r="K112" s="767">
        <v>1.472656997055076</v>
      </c>
    </row>
    <row r="113" spans="9:11" x14ac:dyDescent="0.25">
      <c r="I113" s="768">
        <v>42522</v>
      </c>
      <c r="J113" s="767">
        <v>9.5430631777433348</v>
      </c>
      <c r="K113" s="767">
        <v>1.4414088352241516</v>
      </c>
    </row>
    <row r="114" spans="9:11" x14ac:dyDescent="0.25">
      <c r="I114" s="768">
        <v>42552</v>
      </c>
      <c r="J114" s="767">
        <v>9.4631072719675782</v>
      </c>
      <c r="K114" s="767">
        <v>1.3480025006485188</v>
      </c>
    </row>
    <row r="115" spans="9:11" x14ac:dyDescent="0.25">
      <c r="I115" s="768">
        <v>42583</v>
      </c>
      <c r="J115" s="767">
        <v>9.4563312261299579</v>
      </c>
      <c r="K115" s="767">
        <v>1.4258050054083926</v>
      </c>
    </row>
    <row r="116" spans="9:11" x14ac:dyDescent="0.25">
      <c r="I116" s="768">
        <v>42614</v>
      </c>
      <c r="J116" s="767">
        <v>9.3155641511065959</v>
      </c>
      <c r="K116" s="767">
        <v>1.4401195110514353</v>
      </c>
    </row>
    <row r="117" spans="9:11" x14ac:dyDescent="0.25">
      <c r="I117" s="768">
        <v>42644</v>
      </c>
      <c r="J117" s="767">
        <v>9.0570145031508336</v>
      </c>
      <c r="K117" s="767">
        <v>1.4417921379958272</v>
      </c>
    </row>
    <row r="118" spans="9:11" x14ac:dyDescent="0.25">
      <c r="I118" s="768">
        <v>42675</v>
      </c>
      <c r="J118" s="767">
        <v>8.831882085775252</v>
      </c>
      <c r="K118" s="767">
        <v>1.4510726887527092</v>
      </c>
    </row>
    <row r="119" spans="9:11" x14ac:dyDescent="0.25">
      <c r="I119" s="768">
        <v>42705</v>
      </c>
      <c r="J119" s="767">
        <v>8.7018305149886075</v>
      </c>
      <c r="K119" s="767">
        <v>1.4158485485018053</v>
      </c>
    </row>
    <row r="120" spans="9:11" x14ac:dyDescent="0.25">
      <c r="I120" s="768">
        <v>42736</v>
      </c>
      <c r="J120" s="767">
        <v>8.513018630640067</v>
      </c>
      <c r="K120" s="767">
        <v>1.5219117233230244</v>
      </c>
    </row>
  </sheetData>
  <mergeCells count="7">
    <mergeCell ref="A3:C3"/>
    <mergeCell ref="A18:C18"/>
    <mergeCell ref="E45:F45"/>
    <mergeCell ref="E16:F16"/>
    <mergeCell ref="E31:F31"/>
    <mergeCell ref="C16:D16"/>
    <mergeCell ref="C31:D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1"/>
  <dimension ref="B3:AG66"/>
  <sheetViews>
    <sheetView showGridLines="0" zoomScale="85" zoomScaleNormal="85" workbookViewId="0"/>
  </sheetViews>
  <sheetFormatPr defaultRowHeight="13.5" x14ac:dyDescent="0.25"/>
  <cols>
    <col min="1" max="1" width="9.140625" style="40"/>
    <col min="2" max="2" width="46.5703125" style="40" customWidth="1"/>
    <col min="3" max="3" width="5" style="40" customWidth="1"/>
    <col min="4" max="4" width="48.42578125" style="40" customWidth="1"/>
    <col min="5" max="6" width="9.140625" style="40"/>
    <col min="7" max="7" width="14.140625" style="733" bestFit="1" customWidth="1"/>
    <col min="8" max="32" width="9.140625" style="733"/>
    <col min="33" max="33" width="9.140625" style="115"/>
    <col min="34" max="16384" width="9.140625" style="40"/>
  </cols>
  <sheetData>
    <row r="3" spans="2:33" ht="27.75" thickBot="1" x14ac:dyDescent="0.3">
      <c r="B3" s="710" t="s">
        <v>1013</v>
      </c>
      <c r="C3" s="736"/>
      <c r="D3" s="710" t="s">
        <v>1015</v>
      </c>
      <c r="G3" s="755"/>
      <c r="H3" s="756">
        <v>41640</v>
      </c>
      <c r="I3" s="756">
        <v>41671</v>
      </c>
      <c r="J3" s="756">
        <v>41699</v>
      </c>
      <c r="K3" s="756">
        <v>41730</v>
      </c>
      <c r="L3" s="756">
        <v>41760</v>
      </c>
      <c r="M3" s="756">
        <v>41791</v>
      </c>
      <c r="N3" s="756">
        <v>41821</v>
      </c>
      <c r="O3" s="756">
        <v>41852</v>
      </c>
      <c r="P3" s="756">
        <v>41883</v>
      </c>
      <c r="Q3" s="756">
        <v>41913</v>
      </c>
      <c r="R3" s="756">
        <v>41944</v>
      </c>
      <c r="S3" s="756">
        <v>41974</v>
      </c>
      <c r="T3" s="756">
        <v>42005</v>
      </c>
      <c r="U3" s="756">
        <v>42036</v>
      </c>
      <c r="V3" s="756">
        <v>42064</v>
      </c>
      <c r="W3" s="756">
        <v>42095</v>
      </c>
      <c r="X3" s="756">
        <v>42125</v>
      </c>
      <c r="Y3" s="756">
        <v>42156</v>
      </c>
      <c r="Z3" s="756">
        <v>42186</v>
      </c>
      <c r="AA3" s="756">
        <v>42217</v>
      </c>
      <c r="AB3" s="756">
        <v>42248</v>
      </c>
      <c r="AC3" s="756">
        <v>42278</v>
      </c>
      <c r="AD3" s="756">
        <v>42309</v>
      </c>
      <c r="AE3" s="756">
        <v>42339</v>
      </c>
      <c r="AF3" s="757"/>
      <c r="AG3" s="116"/>
    </row>
    <row r="4" spans="2:33" ht="14.25" thickBot="1" x14ac:dyDescent="0.3">
      <c r="B4" s="734"/>
      <c r="C4" s="10"/>
      <c r="D4" s="734"/>
      <c r="G4" s="122" t="s">
        <v>611</v>
      </c>
      <c r="H4" s="758">
        <v>4.1374837738559576</v>
      </c>
      <c r="I4" s="758">
        <v>4.1896535020345533</v>
      </c>
      <c r="J4" s="758">
        <v>3.9724405904548852</v>
      </c>
      <c r="K4" s="758">
        <v>3.6286932304715394</v>
      </c>
      <c r="L4" s="758">
        <v>3.4257703089898719</v>
      </c>
      <c r="M4" s="758">
        <v>3.5163514490142109</v>
      </c>
      <c r="N4" s="758">
        <v>3.8195681081872852</v>
      </c>
      <c r="O4" s="758">
        <v>3.7617881745602579</v>
      </c>
      <c r="P4" s="758">
        <v>3.7310819175576606</v>
      </c>
      <c r="Q4" s="758">
        <v>3.722196878625641</v>
      </c>
      <c r="R4" s="758">
        <v>3.8176914975970955</v>
      </c>
      <c r="S4" s="758">
        <v>3.7832094227022361</v>
      </c>
      <c r="T4" s="758">
        <v>3.7181056414088212</v>
      </c>
      <c r="U4" s="758">
        <v>3.6666592143604291</v>
      </c>
      <c r="V4" s="758">
        <v>3.827721139980421</v>
      </c>
      <c r="W4" s="758">
        <v>3.7559667836825064</v>
      </c>
      <c r="X4" s="758">
        <v>3.5432496101820079</v>
      </c>
      <c r="Y4" s="758">
        <v>3.4612314545385638</v>
      </c>
      <c r="Z4" s="758">
        <v>3.1557665376450257</v>
      </c>
      <c r="AA4" s="758">
        <v>3.0077100795366891</v>
      </c>
      <c r="AB4" s="758">
        <v>2.675536258162027</v>
      </c>
      <c r="AC4" s="758">
        <v>2.6147217009466877</v>
      </c>
      <c r="AD4" s="758">
        <v>2.3965344977308134</v>
      </c>
      <c r="AE4" s="758">
        <v>2.4199166922680804</v>
      </c>
    </row>
    <row r="5" spans="2:33" x14ac:dyDescent="0.25">
      <c r="B5" s="84"/>
      <c r="C5" s="85"/>
      <c r="D5" s="84"/>
      <c r="G5" s="122" t="s">
        <v>255</v>
      </c>
      <c r="H5" s="758">
        <v>0.50774765730922411</v>
      </c>
      <c r="I5" s="758">
        <v>0.47034787888825996</v>
      </c>
      <c r="J5" s="758">
        <v>0.43847879578485088</v>
      </c>
      <c r="K5" s="758">
        <v>0.42994195136343699</v>
      </c>
      <c r="L5" s="758">
        <v>0.48741508883953866</v>
      </c>
      <c r="M5" s="758">
        <v>0.34948693360608185</v>
      </c>
      <c r="N5" s="758">
        <v>0.29972838371067229</v>
      </c>
      <c r="O5" s="758">
        <v>0.23410109054999828</v>
      </c>
      <c r="P5" s="758">
        <v>0.1506245012682477</v>
      </c>
      <c r="Q5" s="758">
        <v>0.13782042258789226</v>
      </c>
      <c r="R5" s="758">
        <v>0.138462610910383</v>
      </c>
      <c r="S5" s="758">
        <v>0.11245035217296234</v>
      </c>
      <c r="T5" s="758">
        <v>0.1396172522136532</v>
      </c>
      <c r="U5" s="758">
        <v>0.16665043315459993</v>
      </c>
      <c r="V5" s="758">
        <v>0.19018099868185606</v>
      </c>
      <c r="W5" s="758">
        <v>0.17962381550124226</v>
      </c>
      <c r="X5" s="758">
        <v>0.16792886450639241</v>
      </c>
      <c r="Y5" s="758">
        <v>0.15403724709388616</v>
      </c>
      <c r="Z5" s="758">
        <v>0.15660051396553096</v>
      </c>
      <c r="AA5" s="758">
        <v>0.15977640277058189</v>
      </c>
      <c r="AB5" s="758">
        <v>0.16763052787881833</v>
      </c>
      <c r="AC5" s="758">
        <v>0.20601372850963792</v>
      </c>
      <c r="AD5" s="758">
        <v>0.24113648017249334</v>
      </c>
      <c r="AE5" s="758">
        <v>0.2019242197465031</v>
      </c>
    </row>
    <row r="6" spans="2:33" x14ac:dyDescent="0.25">
      <c r="G6" s="122" t="s">
        <v>612</v>
      </c>
      <c r="H6" s="758">
        <v>-1.0299516679456102</v>
      </c>
      <c r="I6" s="758">
        <v>-1.1537170756198456</v>
      </c>
      <c r="J6" s="758">
        <v>-1.2911385316952995</v>
      </c>
      <c r="K6" s="758">
        <v>-1.3911796611347849</v>
      </c>
      <c r="L6" s="758">
        <v>-1.5336974512049817</v>
      </c>
      <c r="M6" s="758">
        <v>-1.6955300108105185</v>
      </c>
      <c r="N6" s="758">
        <v>-1.8101566708792731</v>
      </c>
      <c r="O6" s="758">
        <v>-1.9343210842254828</v>
      </c>
      <c r="P6" s="758">
        <v>-2.0739078961803026</v>
      </c>
      <c r="Q6" s="758">
        <v>-2.1284524307666643</v>
      </c>
      <c r="R6" s="758">
        <v>-2.1897021748709453</v>
      </c>
      <c r="S6" s="758">
        <v>-2.1836104035209831</v>
      </c>
      <c r="T6" s="758">
        <v>-2.2354790626355392</v>
      </c>
      <c r="U6" s="758">
        <v>-2.2610372067196747</v>
      </c>
      <c r="V6" s="758">
        <v>-2.3454094625110908</v>
      </c>
      <c r="W6" s="758">
        <v>-2.4281844862991164</v>
      </c>
      <c r="X6" s="758">
        <v>-2.5022104448867815</v>
      </c>
      <c r="Y6" s="758">
        <v>-2.5698873158693827</v>
      </c>
      <c r="Z6" s="758">
        <v>-2.6649647897353512</v>
      </c>
      <c r="AA6" s="758">
        <v>-2.7420060111524402</v>
      </c>
      <c r="AB6" s="758">
        <v>-2.8046823355940194</v>
      </c>
      <c r="AC6" s="758">
        <v>-2.9239147399309928</v>
      </c>
      <c r="AD6" s="758">
        <v>-3.0665645958227539</v>
      </c>
      <c r="AE6" s="758">
        <v>-2.3421377717688174</v>
      </c>
    </row>
    <row r="7" spans="2:33" x14ac:dyDescent="0.25">
      <c r="G7" s="122" t="s">
        <v>613</v>
      </c>
      <c r="H7" s="758">
        <v>-1.7522863765398535</v>
      </c>
      <c r="I7" s="758">
        <v>-1.7583087892624762</v>
      </c>
      <c r="J7" s="758">
        <v>-1.7758763388265182</v>
      </c>
      <c r="K7" s="758">
        <v>-1.770124239415704</v>
      </c>
      <c r="L7" s="758">
        <v>-1.7696160618075798</v>
      </c>
      <c r="M7" s="758">
        <v>-1.7528408425275401</v>
      </c>
      <c r="N7" s="758">
        <v>-1.739612312701476</v>
      </c>
      <c r="O7" s="758">
        <v>-1.7162415585226729</v>
      </c>
      <c r="P7" s="758">
        <v>-1.6623325841956909</v>
      </c>
      <c r="Q7" s="758">
        <v>-1.6464588581448047</v>
      </c>
      <c r="R7" s="758">
        <v>-1.7029681335729283</v>
      </c>
      <c r="S7" s="758">
        <v>-1.5796622299412497</v>
      </c>
      <c r="T7" s="758">
        <v>-1.5621899765985028</v>
      </c>
      <c r="U7" s="758">
        <v>-1.5189985399683181</v>
      </c>
      <c r="V7" s="758">
        <v>-1.5134517817802682</v>
      </c>
      <c r="W7" s="758">
        <v>-1.5202109947612099</v>
      </c>
      <c r="X7" s="758">
        <v>-1.5111302424748192</v>
      </c>
      <c r="Y7" s="758">
        <v>-1.4786200873747946</v>
      </c>
      <c r="Z7" s="758">
        <v>-1.4640334450719055</v>
      </c>
      <c r="AA7" s="758">
        <v>-1.4671963751322652</v>
      </c>
      <c r="AB7" s="758">
        <v>-1.4634274481241449</v>
      </c>
      <c r="AC7" s="758">
        <v>-1.4633632824824421</v>
      </c>
      <c r="AD7" s="758">
        <v>-1.4130171414132531</v>
      </c>
      <c r="AE7" s="758">
        <v>-1.4286043108069089</v>
      </c>
    </row>
    <row r="8" spans="2:33" x14ac:dyDescent="0.25">
      <c r="G8" s="122" t="s">
        <v>253</v>
      </c>
      <c r="H8" s="758">
        <v>1.8629933866797104</v>
      </c>
      <c r="I8" s="758">
        <v>1.7479755160404835</v>
      </c>
      <c r="J8" s="758">
        <v>1.343904515717911</v>
      </c>
      <c r="K8" s="758">
        <v>0.89733128128447748</v>
      </c>
      <c r="L8" s="758">
        <v>0.60987188481683774</v>
      </c>
      <c r="M8" s="758">
        <v>0.41746752928222325</v>
      </c>
      <c r="N8" s="758">
        <v>0.56952750831721355</v>
      </c>
      <c r="O8" s="758">
        <v>0.34532662236208783</v>
      </c>
      <c r="P8" s="758">
        <v>0.14546593844991376</v>
      </c>
      <c r="Q8" s="758">
        <v>8.5106012302036321E-2</v>
      </c>
      <c r="R8" s="758">
        <v>6.3483800063590987E-2</v>
      </c>
      <c r="S8" s="758">
        <v>0.13238714141297392</v>
      </c>
      <c r="T8" s="758">
        <v>6.0053854388440298E-2</v>
      </c>
      <c r="U8" s="758">
        <v>5.3273900827046423E-2</v>
      </c>
      <c r="V8" s="758">
        <v>0.15904089437092661</v>
      </c>
      <c r="W8" s="758">
        <v>-1.2804881876570161E-2</v>
      </c>
      <c r="X8" s="758">
        <v>-0.30216221267318522</v>
      </c>
      <c r="Y8" s="758">
        <v>-0.43323870161170719</v>
      </c>
      <c r="Z8" s="758">
        <v>-0.81663118319669825</v>
      </c>
      <c r="AA8" s="758">
        <v>-1.0417159039774222</v>
      </c>
      <c r="AB8" s="758">
        <v>-1.4249429976773222</v>
      </c>
      <c r="AC8" s="758">
        <v>-1.5665425929570791</v>
      </c>
      <c r="AD8" s="758">
        <v>-1.8419107593326878</v>
      </c>
      <c r="AE8" s="758">
        <v>-1.1489011705611436</v>
      </c>
    </row>
    <row r="9" spans="2:33" x14ac:dyDescent="0.25">
      <c r="H9" s="758"/>
      <c r="I9" s="758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58"/>
      <c r="U9" s="758"/>
      <c r="V9" s="758"/>
      <c r="W9" s="758"/>
      <c r="X9" s="758"/>
      <c r="Y9" s="758"/>
      <c r="Z9" s="758"/>
      <c r="AA9" s="758"/>
      <c r="AB9" s="758"/>
      <c r="AC9" s="758"/>
      <c r="AD9" s="758"/>
      <c r="AE9" s="758"/>
    </row>
    <row r="11" spans="2:33" ht="14.25" thickBot="1" x14ac:dyDescent="0.3">
      <c r="G11" s="755"/>
      <c r="H11" s="756">
        <v>42005</v>
      </c>
      <c r="I11" s="756">
        <v>42036</v>
      </c>
      <c r="J11" s="756">
        <v>42064</v>
      </c>
      <c r="K11" s="756">
        <v>42095</v>
      </c>
      <c r="L11" s="756">
        <v>42125</v>
      </c>
      <c r="M11" s="756">
        <v>42156</v>
      </c>
      <c r="N11" s="756">
        <v>42186</v>
      </c>
      <c r="O11" s="756">
        <v>42217</v>
      </c>
      <c r="P11" s="756">
        <v>42248</v>
      </c>
      <c r="Q11" s="756">
        <v>42278</v>
      </c>
      <c r="R11" s="756">
        <v>42309</v>
      </c>
      <c r="S11" s="756">
        <v>42339</v>
      </c>
      <c r="T11" s="756">
        <v>42370</v>
      </c>
      <c r="U11" s="756">
        <v>42401</v>
      </c>
      <c r="V11" s="756">
        <v>42430</v>
      </c>
      <c r="W11" s="756">
        <v>42461</v>
      </c>
      <c r="X11" s="756">
        <v>42491</v>
      </c>
      <c r="Y11" s="756">
        <v>42522</v>
      </c>
      <c r="Z11" s="756">
        <v>42552</v>
      </c>
      <c r="AA11" s="756">
        <v>42583</v>
      </c>
      <c r="AB11" s="756">
        <v>42614</v>
      </c>
      <c r="AC11" s="756">
        <v>42644</v>
      </c>
      <c r="AD11" s="756">
        <v>42675</v>
      </c>
      <c r="AE11" s="756">
        <v>42705</v>
      </c>
      <c r="AF11" s="757"/>
      <c r="AG11" s="116"/>
    </row>
    <row r="12" spans="2:33" x14ac:dyDescent="0.25">
      <c r="G12" s="733" t="s">
        <v>256</v>
      </c>
      <c r="H12" s="758">
        <v>-0.38095694494577947</v>
      </c>
      <c r="I12" s="758">
        <v>-0.46300879044823973</v>
      </c>
      <c r="J12" s="758">
        <v>-0.29951561746321803</v>
      </c>
      <c r="K12" s="758">
        <v>-0.11610596989793656</v>
      </c>
      <c r="L12" s="758">
        <v>-3.4367003187055045E-2</v>
      </c>
      <c r="M12" s="758">
        <v>-5.9657811333625715E-2</v>
      </c>
      <c r="N12" s="758">
        <v>-0.1760468939265995</v>
      </c>
      <c r="O12" s="758">
        <v>-0.1723424911039638</v>
      </c>
      <c r="P12" s="758">
        <v>-0.50586769179713331</v>
      </c>
      <c r="Q12" s="758">
        <v>-0.54799579561754608</v>
      </c>
      <c r="R12" s="758">
        <v>-0.42473531130787451</v>
      </c>
      <c r="S12" s="758">
        <v>-0.48585875301074044</v>
      </c>
      <c r="T12" s="758">
        <v>-0.63151676867012996</v>
      </c>
      <c r="U12" s="758">
        <v>-0.39929458008374152</v>
      </c>
      <c r="V12" s="758">
        <v>-0.54199506889858862</v>
      </c>
      <c r="W12" s="758">
        <v>-0.44339880102346768</v>
      </c>
      <c r="X12" s="758">
        <v>-0.79903280831607804</v>
      </c>
      <c r="Y12" s="758">
        <v>-0.77678023711626198</v>
      </c>
      <c r="Z12" s="758">
        <v>-0.90112589161331846</v>
      </c>
      <c r="AA12" s="758">
        <v>-0.83304881127761399</v>
      </c>
      <c r="AB12" s="758">
        <v>-0.48198795698920666</v>
      </c>
      <c r="AC12" s="758">
        <v>-0.31113109518627635</v>
      </c>
      <c r="AD12" s="758">
        <v>-0.23000268203166879</v>
      </c>
      <c r="AE12" s="758">
        <v>0.17003660985193375</v>
      </c>
    </row>
    <row r="13" spans="2:33" x14ac:dyDescent="0.25">
      <c r="G13" s="733" t="s">
        <v>257</v>
      </c>
      <c r="H13" s="758">
        <v>0.21444124806373835</v>
      </c>
      <c r="I13" s="758">
        <v>9.5356457564574351E-2</v>
      </c>
      <c r="J13" s="758">
        <v>0.18587650313536475</v>
      </c>
      <c r="K13" s="758">
        <v>0.17122461900905012</v>
      </c>
      <c r="L13" s="758">
        <v>0.22801411764705226</v>
      </c>
      <c r="M13" s="758">
        <v>0.15647207339449698</v>
      </c>
      <c r="N13" s="758">
        <v>0.14706447349096191</v>
      </c>
      <c r="O13" s="758">
        <v>0.11392329169728375</v>
      </c>
      <c r="P13" s="758">
        <v>-5.6957460877232635E-2</v>
      </c>
      <c r="Q13" s="758">
        <v>-0.17515556532571375</v>
      </c>
      <c r="R13" s="758">
        <v>-7.5770708107310722E-2</v>
      </c>
      <c r="S13" s="758">
        <v>-3.8013533392180887E-2</v>
      </c>
      <c r="T13" s="758">
        <v>-1.8921923246588479E-2</v>
      </c>
      <c r="U13" s="758">
        <v>0.13276580692705217</v>
      </c>
      <c r="V13" s="758">
        <v>2.3666323377969669E-2</v>
      </c>
      <c r="W13" s="758">
        <v>0.18898303840223252</v>
      </c>
      <c r="X13" s="758">
        <v>5.6574443141852893E-2</v>
      </c>
      <c r="Y13" s="758">
        <v>6.5955191096779692E-2</v>
      </c>
      <c r="Z13" s="758">
        <v>-1.4142574547588434E-2</v>
      </c>
      <c r="AA13" s="758">
        <v>4.247440222972327E-2</v>
      </c>
      <c r="AB13" s="758">
        <v>0.28862298698433481</v>
      </c>
      <c r="AC13" s="758">
        <v>0.41130991917707349</v>
      </c>
      <c r="AD13" s="758">
        <v>0.34471686481726405</v>
      </c>
      <c r="AE13" s="758">
        <v>0.55877185752134739</v>
      </c>
    </row>
    <row r="14" spans="2:33" x14ac:dyDescent="0.25">
      <c r="G14" s="733" t="s">
        <v>258</v>
      </c>
      <c r="H14" s="758">
        <v>-0.32305545203845737</v>
      </c>
      <c r="I14" s="758">
        <v>-0.28689107503553368</v>
      </c>
      <c r="J14" s="758">
        <v>-0.21067209668943776</v>
      </c>
      <c r="K14" s="758">
        <v>-1.6659989417190244E-2</v>
      </c>
      <c r="L14" s="758">
        <v>9.8964975303098991E-3</v>
      </c>
      <c r="M14" s="758">
        <v>5.2836679652383561E-2</v>
      </c>
      <c r="N14" s="758">
        <v>-4.7654171066527022E-2</v>
      </c>
      <c r="O14" s="758">
        <v>-1.0082882195959838E-2</v>
      </c>
      <c r="P14" s="758">
        <v>4.8335934511512385E-2</v>
      </c>
      <c r="Q14" s="758">
        <v>0.11856478635105851</v>
      </c>
      <c r="R14" s="758">
        <v>5.8785565899823387E-2</v>
      </c>
      <c r="S14" s="758">
        <v>-8.1376615384614701E-2</v>
      </c>
      <c r="T14" s="758">
        <v>-5.8764985995524585E-2</v>
      </c>
      <c r="U14" s="758">
        <v>1.8370532580499935E-2</v>
      </c>
      <c r="V14" s="758">
        <v>-2.026715917745495E-2</v>
      </c>
      <c r="W14" s="758">
        <v>-9.7024973512938609E-2</v>
      </c>
      <c r="X14" s="758">
        <v>-0.32110567646398863</v>
      </c>
      <c r="Y14" s="758">
        <v>-0.30492624664078866</v>
      </c>
      <c r="Z14" s="758">
        <v>-0.18501036700718967</v>
      </c>
      <c r="AA14" s="758">
        <v>-0.1694866473370982</v>
      </c>
      <c r="AB14" s="758">
        <v>-0.20121366478572283</v>
      </c>
      <c r="AC14" s="758">
        <v>-0.20116764504078435</v>
      </c>
      <c r="AD14" s="758">
        <v>-5.5980688175340756E-2</v>
      </c>
      <c r="AE14" s="758">
        <v>0.12915346534653641</v>
      </c>
    </row>
    <row r="15" spans="2:33" x14ac:dyDescent="0.25">
      <c r="G15" s="733" t="s">
        <v>259</v>
      </c>
      <c r="H15" s="758">
        <v>-0.27234274097106048</v>
      </c>
      <c r="I15" s="758">
        <v>-0.27147417297728038</v>
      </c>
      <c r="J15" s="758">
        <v>-0.27472002390914502</v>
      </c>
      <c r="K15" s="758">
        <v>-0.27067059948979644</v>
      </c>
      <c r="L15" s="758">
        <v>-0.27227761836441722</v>
      </c>
      <c r="M15" s="758">
        <v>-0.26896656438050626</v>
      </c>
      <c r="N15" s="758">
        <v>-0.27545719635103438</v>
      </c>
      <c r="O15" s="758">
        <v>-0.27618290060528772</v>
      </c>
      <c r="P15" s="758">
        <v>-0.49724616543141303</v>
      </c>
      <c r="Q15" s="758">
        <v>-0.49140501664289082</v>
      </c>
      <c r="R15" s="758">
        <v>-0.40775016910038719</v>
      </c>
      <c r="S15" s="758">
        <v>-0.36646860423394484</v>
      </c>
      <c r="T15" s="758">
        <v>-0.23382985942801682</v>
      </c>
      <c r="U15" s="758">
        <v>-0.23043091959129361</v>
      </c>
      <c r="V15" s="758">
        <v>-0.22539423309910328</v>
      </c>
      <c r="W15" s="758">
        <v>-0.2153568659127616</v>
      </c>
      <c r="X15" s="758">
        <v>-0.21450157499394235</v>
      </c>
      <c r="Y15" s="758">
        <v>-0.21780918157225304</v>
      </c>
      <c r="Z15" s="758">
        <v>-0.38197295005854043</v>
      </c>
      <c r="AA15" s="758">
        <v>-0.38603656617023901</v>
      </c>
      <c r="AB15" s="758">
        <v>-0.24939727918781862</v>
      </c>
      <c r="AC15" s="758">
        <v>-0.20127336932256551</v>
      </c>
      <c r="AD15" s="758">
        <v>-0.19873885867359209</v>
      </c>
      <c r="AE15" s="758">
        <v>-0.19788871301594999</v>
      </c>
    </row>
    <row r="16" spans="2:33" x14ac:dyDescent="0.25">
      <c r="G16" s="733" t="s">
        <v>629</v>
      </c>
      <c r="H16" s="758">
        <v>0</v>
      </c>
      <c r="I16" s="758">
        <v>0</v>
      </c>
      <c r="J16" s="758">
        <v>0</v>
      </c>
      <c r="K16" s="758">
        <v>0</v>
      </c>
      <c r="L16" s="758">
        <v>0</v>
      </c>
      <c r="M16" s="758">
        <v>0</v>
      </c>
      <c r="N16" s="758">
        <v>0</v>
      </c>
      <c r="O16" s="758">
        <v>0</v>
      </c>
      <c r="P16" s="758">
        <v>0</v>
      </c>
      <c r="Q16" s="758">
        <v>0</v>
      </c>
      <c r="R16" s="758">
        <v>0</v>
      </c>
      <c r="S16" s="758">
        <v>0</v>
      </c>
      <c r="T16" s="758">
        <v>-0.32</v>
      </c>
      <c r="U16" s="758">
        <v>-0.32</v>
      </c>
      <c r="V16" s="758">
        <v>-0.32</v>
      </c>
      <c r="W16" s="758">
        <v>-0.32</v>
      </c>
      <c r="X16" s="758">
        <v>-0.32</v>
      </c>
      <c r="Y16" s="758">
        <v>-0.32</v>
      </c>
      <c r="Z16" s="758">
        <v>-0.32</v>
      </c>
      <c r="AA16" s="758">
        <v>-0.32</v>
      </c>
      <c r="AB16" s="758">
        <v>-0.32</v>
      </c>
      <c r="AC16" s="758">
        <v>-0.32</v>
      </c>
      <c r="AD16" s="758">
        <v>-0.32</v>
      </c>
      <c r="AE16" s="758">
        <v>-0.32</v>
      </c>
    </row>
    <row r="17" spans="2:31" x14ac:dyDescent="0.25">
      <c r="H17" s="758"/>
      <c r="I17" s="758"/>
      <c r="J17" s="758"/>
      <c r="K17" s="758"/>
      <c r="L17" s="758"/>
      <c r="M17" s="758"/>
      <c r="N17" s="758"/>
      <c r="O17" s="758"/>
      <c r="P17" s="758"/>
      <c r="Q17" s="758"/>
      <c r="R17" s="758"/>
      <c r="S17" s="758"/>
      <c r="T17" s="758"/>
      <c r="U17" s="758"/>
      <c r="V17" s="758"/>
      <c r="W17" s="758"/>
      <c r="X17" s="758"/>
      <c r="Y17" s="758"/>
      <c r="Z17" s="758"/>
      <c r="AA17" s="758"/>
      <c r="AB17" s="758"/>
      <c r="AC17" s="758"/>
      <c r="AD17" s="758"/>
      <c r="AE17" s="758"/>
    </row>
    <row r="18" spans="2:31" ht="14.25" thickBot="1" x14ac:dyDescent="0.3">
      <c r="B18" s="457" t="s">
        <v>284</v>
      </c>
      <c r="C18" s="142"/>
      <c r="D18" s="457" t="s">
        <v>284</v>
      </c>
      <c r="G18" s="755"/>
      <c r="H18" s="756">
        <v>41640</v>
      </c>
      <c r="I18" s="756">
        <v>41671</v>
      </c>
      <c r="J18" s="756">
        <v>41699</v>
      </c>
      <c r="K18" s="756">
        <v>41730</v>
      </c>
      <c r="L18" s="756">
        <v>41760</v>
      </c>
      <c r="M18" s="756">
        <v>41791</v>
      </c>
      <c r="N18" s="756">
        <v>41821</v>
      </c>
      <c r="O18" s="756">
        <v>41852</v>
      </c>
      <c r="P18" s="756">
        <v>41883</v>
      </c>
      <c r="Q18" s="756">
        <v>41913</v>
      </c>
      <c r="R18" s="756">
        <v>41944</v>
      </c>
      <c r="S18" s="756">
        <v>41974</v>
      </c>
      <c r="T18" s="756">
        <v>42005</v>
      </c>
      <c r="U18" s="756">
        <v>42036</v>
      </c>
      <c r="V18" s="756">
        <v>42064</v>
      </c>
      <c r="W18" s="756">
        <v>42095</v>
      </c>
      <c r="X18" s="756">
        <v>42125</v>
      </c>
      <c r="Y18" s="756">
        <v>42156</v>
      </c>
      <c r="Z18" s="756">
        <v>42186</v>
      </c>
      <c r="AA18" s="756">
        <v>42217</v>
      </c>
      <c r="AB18" s="756">
        <v>42248</v>
      </c>
      <c r="AC18" s="756">
        <v>42278</v>
      </c>
      <c r="AD18" s="756">
        <v>42309</v>
      </c>
      <c r="AE18" s="756">
        <v>42339</v>
      </c>
    </row>
    <row r="19" spans="2:31" ht="27.75" thickBot="1" x14ac:dyDescent="0.3">
      <c r="B19" s="710" t="s">
        <v>1014</v>
      </c>
      <c r="D19" s="710" t="s">
        <v>601</v>
      </c>
      <c r="G19" s="122" t="s">
        <v>382</v>
      </c>
      <c r="H19" s="758">
        <v>4.1374837738559576</v>
      </c>
      <c r="I19" s="758">
        <v>4.1896535020345533</v>
      </c>
      <c r="J19" s="758">
        <v>3.9724405904548852</v>
      </c>
      <c r="K19" s="758">
        <v>3.6286932304715394</v>
      </c>
      <c r="L19" s="758">
        <v>3.4257703089898719</v>
      </c>
      <c r="M19" s="758">
        <v>3.5163514490142109</v>
      </c>
      <c r="N19" s="758">
        <v>3.8195681081872852</v>
      </c>
      <c r="O19" s="758">
        <v>3.7617881745602579</v>
      </c>
      <c r="P19" s="758">
        <v>3.7310819175576606</v>
      </c>
      <c r="Q19" s="758">
        <v>3.722196878625641</v>
      </c>
      <c r="R19" s="758">
        <v>3.8176914975970955</v>
      </c>
      <c r="S19" s="758">
        <v>3.7832094227022361</v>
      </c>
      <c r="T19" s="758">
        <v>3.7181056414088212</v>
      </c>
      <c r="U19" s="758">
        <v>3.6666592143604291</v>
      </c>
      <c r="V19" s="758">
        <v>3.827721139980421</v>
      </c>
      <c r="W19" s="758">
        <v>3.7559667836825064</v>
      </c>
      <c r="X19" s="758">
        <v>3.5432496101820079</v>
      </c>
      <c r="Y19" s="758">
        <v>3.4612314545385638</v>
      </c>
      <c r="Z19" s="758">
        <v>3.1557665376450257</v>
      </c>
      <c r="AA19" s="758">
        <v>3.0077100795366891</v>
      </c>
      <c r="AB19" s="758">
        <v>2.675536258162027</v>
      </c>
      <c r="AC19" s="758">
        <v>2.6147217009466877</v>
      </c>
      <c r="AD19" s="758">
        <v>2.3965344977308134</v>
      </c>
      <c r="AE19" s="758">
        <v>2.4199166922680804</v>
      </c>
    </row>
    <row r="20" spans="2:31" x14ac:dyDescent="0.25">
      <c r="G20" s="122" t="s">
        <v>383</v>
      </c>
      <c r="H20" s="758">
        <v>0.50774765730922411</v>
      </c>
      <c r="I20" s="758">
        <v>0.47034787888825996</v>
      </c>
      <c r="J20" s="758">
        <v>0.43847879578485088</v>
      </c>
      <c r="K20" s="758">
        <v>0.42994195136343699</v>
      </c>
      <c r="L20" s="758">
        <v>0.48741508883953866</v>
      </c>
      <c r="M20" s="758">
        <v>0.34948693360608185</v>
      </c>
      <c r="N20" s="758">
        <v>0.29972838371067229</v>
      </c>
      <c r="O20" s="758">
        <v>0.23410109054999828</v>
      </c>
      <c r="P20" s="758">
        <v>0.1506245012682477</v>
      </c>
      <c r="Q20" s="758">
        <v>0.13782042258789226</v>
      </c>
      <c r="R20" s="758">
        <v>0.138462610910383</v>
      </c>
      <c r="S20" s="758">
        <v>0.11245035217296234</v>
      </c>
      <c r="T20" s="758">
        <v>0.1396172522136532</v>
      </c>
      <c r="U20" s="758">
        <v>0.16665043315459993</v>
      </c>
      <c r="V20" s="758">
        <v>0.19018099868185606</v>
      </c>
      <c r="W20" s="758">
        <v>0.17962381550124226</v>
      </c>
      <c r="X20" s="758">
        <v>0.16792886450639241</v>
      </c>
      <c r="Y20" s="758">
        <v>0.15403724709388616</v>
      </c>
      <c r="Z20" s="758">
        <v>0.15660051396553096</v>
      </c>
      <c r="AA20" s="758">
        <v>0.15977640277058189</v>
      </c>
      <c r="AB20" s="758">
        <v>0.16763052787881833</v>
      </c>
      <c r="AC20" s="758">
        <v>0.20601372850963792</v>
      </c>
      <c r="AD20" s="758">
        <v>0.24113648017249334</v>
      </c>
      <c r="AE20" s="758">
        <v>0.2019242197465031</v>
      </c>
    </row>
    <row r="21" spans="2:31" x14ac:dyDescent="0.25">
      <c r="G21" s="122" t="s">
        <v>614</v>
      </c>
      <c r="H21" s="758">
        <v>-1.0299516679456102</v>
      </c>
      <c r="I21" s="758">
        <v>-1.1537170756198456</v>
      </c>
      <c r="J21" s="758">
        <v>-1.2911385316952995</v>
      </c>
      <c r="K21" s="758">
        <v>-1.3911796611347849</v>
      </c>
      <c r="L21" s="758">
        <v>-1.5336974512049817</v>
      </c>
      <c r="M21" s="758">
        <v>-1.6955300108105185</v>
      </c>
      <c r="N21" s="758">
        <v>-1.8101566708792731</v>
      </c>
      <c r="O21" s="758">
        <v>-1.9343210842254828</v>
      </c>
      <c r="P21" s="758">
        <v>-2.0739078961803026</v>
      </c>
      <c r="Q21" s="758">
        <v>-2.1284524307666643</v>
      </c>
      <c r="R21" s="758">
        <v>-2.1897021748709453</v>
      </c>
      <c r="S21" s="758">
        <v>-2.1836104035209831</v>
      </c>
      <c r="T21" s="758">
        <v>-2.2354790626355392</v>
      </c>
      <c r="U21" s="758">
        <v>-2.2610372067196747</v>
      </c>
      <c r="V21" s="758">
        <v>-2.3454094625110908</v>
      </c>
      <c r="W21" s="758">
        <v>-2.4281844862991164</v>
      </c>
      <c r="X21" s="758">
        <v>-2.5022104448867815</v>
      </c>
      <c r="Y21" s="758">
        <v>-2.5698873158693827</v>
      </c>
      <c r="Z21" s="758">
        <v>-2.6649647897353512</v>
      </c>
      <c r="AA21" s="758">
        <v>-2.7420060111524402</v>
      </c>
      <c r="AB21" s="758">
        <v>-2.8046823355940194</v>
      </c>
      <c r="AC21" s="758">
        <v>-2.9239147399309928</v>
      </c>
      <c r="AD21" s="758">
        <v>-3.0665645958227539</v>
      </c>
      <c r="AE21" s="758">
        <v>-2.3421377717688174</v>
      </c>
    </row>
    <row r="22" spans="2:31" x14ac:dyDescent="0.25">
      <c r="G22" s="122" t="s">
        <v>615</v>
      </c>
      <c r="H22" s="758">
        <v>-1.7522863765398535</v>
      </c>
      <c r="I22" s="758">
        <v>-1.7583087892624762</v>
      </c>
      <c r="J22" s="758">
        <v>-1.7758763388265182</v>
      </c>
      <c r="K22" s="758">
        <v>-1.770124239415704</v>
      </c>
      <c r="L22" s="758">
        <v>-1.7696160618075798</v>
      </c>
      <c r="M22" s="758">
        <v>-1.7528408425275401</v>
      </c>
      <c r="N22" s="758">
        <v>-1.739612312701476</v>
      </c>
      <c r="O22" s="758">
        <v>-1.7162415585226729</v>
      </c>
      <c r="P22" s="758">
        <v>-1.6623325841956909</v>
      </c>
      <c r="Q22" s="758">
        <v>-1.6464588581448047</v>
      </c>
      <c r="R22" s="758">
        <v>-1.7029681335729283</v>
      </c>
      <c r="S22" s="758">
        <v>-1.5796622299412497</v>
      </c>
      <c r="T22" s="758">
        <v>-1.5621899765985028</v>
      </c>
      <c r="U22" s="758">
        <v>-1.5189985399683181</v>
      </c>
      <c r="V22" s="758">
        <v>-1.5134517817802682</v>
      </c>
      <c r="W22" s="758">
        <v>-1.5202109947612099</v>
      </c>
      <c r="X22" s="758">
        <v>-1.5111302424748192</v>
      </c>
      <c r="Y22" s="758">
        <v>-1.4786200873747946</v>
      </c>
      <c r="Z22" s="758">
        <v>-1.4640334450719055</v>
      </c>
      <c r="AA22" s="758">
        <v>-1.4671963751322652</v>
      </c>
      <c r="AB22" s="758">
        <v>-1.4634274481241449</v>
      </c>
      <c r="AC22" s="758">
        <v>-1.4633632824824421</v>
      </c>
      <c r="AD22" s="758">
        <v>-1.4130171414132531</v>
      </c>
      <c r="AE22" s="758">
        <v>-1.4286043108069089</v>
      </c>
    </row>
    <row r="23" spans="2:31" x14ac:dyDescent="0.25">
      <c r="G23" s="122" t="s">
        <v>384</v>
      </c>
      <c r="H23" s="758">
        <v>1.8629933866797104</v>
      </c>
      <c r="I23" s="758">
        <v>1.7479755160404835</v>
      </c>
      <c r="J23" s="758">
        <v>1.343904515717911</v>
      </c>
      <c r="K23" s="758">
        <v>0.89733128128447748</v>
      </c>
      <c r="L23" s="758">
        <v>0.60987188481683774</v>
      </c>
      <c r="M23" s="758">
        <v>0.41746752928222325</v>
      </c>
      <c r="N23" s="758">
        <v>0.56952750831721355</v>
      </c>
      <c r="O23" s="758">
        <v>0.34532662236208783</v>
      </c>
      <c r="P23" s="758">
        <v>0.14546593844991376</v>
      </c>
      <c r="Q23" s="758">
        <v>8.5106012302036321E-2</v>
      </c>
      <c r="R23" s="758">
        <v>6.3483800063590987E-2</v>
      </c>
      <c r="S23" s="758">
        <v>0.13238714141297392</v>
      </c>
      <c r="T23" s="758">
        <v>6.0053854388440298E-2</v>
      </c>
      <c r="U23" s="758">
        <v>5.3273900827046423E-2</v>
      </c>
      <c r="V23" s="758">
        <v>0.15904089437092661</v>
      </c>
      <c r="W23" s="758">
        <v>-1.2804881876570161E-2</v>
      </c>
      <c r="X23" s="758">
        <v>-0.30216221267318522</v>
      </c>
      <c r="Y23" s="758">
        <v>-0.43323870161170719</v>
      </c>
      <c r="Z23" s="758">
        <v>-0.81663118319669825</v>
      </c>
      <c r="AA23" s="758">
        <v>-1.0417159039774222</v>
      </c>
      <c r="AB23" s="758">
        <v>-1.4249429976773222</v>
      </c>
      <c r="AC23" s="758">
        <v>-1.5665425929570791</v>
      </c>
      <c r="AD23" s="758">
        <v>-1.8419107593326878</v>
      </c>
      <c r="AE23" s="758">
        <v>-1.1489011705611436</v>
      </c>
    </row>
    <row r="26" spans="2:31" ht="14.25" thickBot="1" x14ac:dyDescent="0.3">
      <c r="G26" s="755"/>
      <c r="H26" s="756">
        <v>42005</v>
      </c>
      <c r="I26" s="756">
        <v>42036</v>
      </c>
      <c r="J26" s="756">
        <v>42064</v>
      </c>
      <c r="K26" s="756">
        <v>42095</v>
      </c>
      <c r="L26" s="756">
        <v>42125</v>
      </c>
      <c r="M26" s="756">
        <v>42156</v>
      </c>
      <c r="N26" s="756">
        <v>42186</v>
      </c>
      <c r="O26" s="756">
        <v>42217</v>
      </c>
      <c r="P26" s="756">
        <v>42248</v>
      </c>
      <c r="Q26" s="756">
        <v>42278</v>
      </c>
      <c r="R26" s="756">
        <v>42309</v>
      </c>
      <c r="S26" s="756">
        <v>42339</v>
      </c>
      <c r="T26" s="756">
        <v>42370</v>
      </c>
      <c r="U26" s="756">
        <v>42401</v>
      </c>
      <c r="V26" s="756">
        <v>42430</v>
      </c>
      <c r="W26" s="756">
        <v>42461</v>
      </c>
      <c r="X26" s="756">
        <v>42491</v>
      </c>
      <c r="Y26" s="756">
        <v>42522</v>
      </c>
      <c r="Z26" s="756">
        <v>42552</v>
      </c>
      <c r="AA26" s="756">
        <v>42583</v>
      </c>
      <c r="AB26" s="756">
        <v>42614</v>
      </c>
      <c r="AC26" s="756">
        <v>42644</v>
      </c>
      <c r="AD26" s="756">
        <v>42675</v>
      </c>
      <c r="AE26" s="756">
        <v>42705</v>
      </c>
    </row>
    <row r="27" spans="2:31" x14ac:dyDescent="0.25">
      <c r="G27" s="733" t="s">
        <v>385</v>
      </c>
      <c r="H27" s="758">
        <v>-0.38095694494577947</v>
      </c>
      <c r="I27" s="758">
        <v>-0.46300879044823973</v>
      </c>
      <c r="J27" s="758">
        <v>-0.29951561746321803</v>
      </c>
      <c r="K27" s="758">
        <v>-0.11610596989793656</v>
      </c>
      <c r="L27" s="758">
        <v>-3.4367003187055045E-2</v>
      </c>
      <c r="M27" s="758">
        <v>-5.9657811333625715E-2</v>
      </c>
      <c r="N27" s="758">
        <v>-0.1760468939265995</v>
      </c>
      <c r="O27" s="758">
        <v>-0.1723424911039638</v>
      </c>
      <c r="P27" s="758">
        <v>-0.50586769179713331</v>
      </c>
      <c r="Q27" s="758">
        <v>-0.54799579561754608</v>
      </c>
      <c r="R27" s="758">
        <v>-0.42473531130787451</v>
      </c>
      <c r="S27" s="758">
        <v>-0.48585875301074044</v>
      </c>
      <c r="T27" s="758">
        <v>-0.63151676867012996</v>
      </c>
      <c r="U27" s="758">
        <v>-0.39929458008374152</v>
      </c>
      <c r="V27" s="758">
        <v>-0.54199506889858862</v>
      </c>
      <c r="W27" s="758">
        <v>-0.44339880102346768</v>
      </c>
      <c r="X27" s="758">
        <v>-0.79903280831607804</v>
      </c>
      <c r="Y27" s="758">
        <v>-0.77678023711626198</v>
      </c>
      <c r="Z27" s="758">
        <v>-0.90112589161331846</v>
      </c>
      <c r="AA27" s="758">
        <v>-0.83304881127761399</v>
      </c>
      <c r="AB27" s="758">
        <v>-0.48198795698920666</v>
      </c>
      <c r="AC27" s="758">
        <v>-0.31113109518627635</v>
      </c>
      <c r="AD27" s="758">
        <v>-0.23000268203166879</v>
      </c>
      <c r="AE27" s="758">
        <v>0.17003660985193375</v>
      </c>
    </row>
    <row r="28" spans="2:31" x14ac:dyDescent="0.25">
      <c r="G28" s="733" t="s">
        <v>386</v>
      </c>
      <c r="H28" s="758">
        <v>0.21444124806373835</v>
      </c>
      <c r="I28" s="758">
        <v>9.5356457564574351E-2</v>
      </c>
      <c r="J28" s="758">
        <v>0.18587650313536475</v>
      </c>
      <c r="K28" s="758">
        <v>0.17122461900905012</v>
      </c>
      <c r="L28" s="758">
        <v>0.22801411764705226</v>
      </c>
      <c r="M28" s="758">
        <v>0.15647207339449698</v>
      </c>
      <c r="N28" s="758">
        <v>0.14706447349096191</v>
      </c>
      <c r="O28" s="758">
        <v>0.11392329169728375</v>
      </c>
      <c r="P28" s="758">
        <v>-5.6957460877232635E-2</v>
      </c>
      <c r="Q28" s="758">
        <v>-0.17515556532571375</v>
      </c>
      <c r="R28" s="758">
        <v>-7.5770708107310722E-2</v>
      </c>
      <c r="S28" s="758">
        <v>-3.8013533392180887E-2</v>
      </c>
      <c r="T28" s="758">
        <v>-1.8921923246588479E-2</v>
      </c>
      <c r="U28" s="758">
        <v>0.13276580692705217</v>
      </c>
      <c r="V28" s="758">
        <v>2.3666323377969669E-2</v>
      </c>
      <c r="W28" s="758">
        <v>0.18898303840223252</v>
      </c>
      <c r="X28" s="758">
        <v>5.6574443141852893E-2</v>
      </c>
      <c r="Y28" s="758">
        <v>6.5955191096779692E-2</v>
      </c>
      <c r="Z28" s="758">
        <v>-1.4142574547588434E-2</v>
      </c>
      <c r="AA28" s="758">
        <v>4.247440222972327E-2</v>
      </c>
      <c r="AB28" s="758">
        <v>0.28862298698433481</v>
      </c>
      <c r="AC28" s="758">
        <v>0.41130991917707349</v>
      </c>
      <c r="AD28" s="758">
        <v>0.34471686481726405</v>
      </c>
      <c r="AE28" s="758">
        <v>0.55877185752134739</v>
      </c>
    </row>
    <row r="29" spans="2:31" x14ac:dyDescent="0.25">
      <c r="G29" s="733" t="s">
        <v>387</v>
      </c>
      <c r="H29" s="758">
        <v>-0.32305545203845737</v>
      </c>
      <c r="I29" s="758">
        <v>-0.28689107503553368</v>
      </c>
      <c r="J29" s="758">
        <v>-0.21067209668943776</v>
      </c>
      <c r="K29" s="758">
        <v>-1.6659989417190244E-2</v>
      </c>
      <c r="L29" s="758">
        <v>9.8964975303098991E-3</v>
      </c>
      <c r="M29" s="758">
        <v>5.2836679652383561E-2</v>
      </c>
      <c r="N29" s="758">
        <v>-4.7654171066527022E-2</v>
      </c>
      <c r="O29" s="758">
        <v>-1.0082882195959838E-2</v>
      </c>
      <c r="P29" s="758">
        <v>4.8335934511512385E-2</v>
      </c>
      <c r="Q29" s="758">
        <v>0.11856478635105851</v>
      </c>
      <c r="R29" s="758">
        <v>5.8785565899823387E-2</v>
      </c>
      <c r="S29" s="758">
        <v>-8.1376615384614701E-2</v>
      </c>
      <c r="T29" s="758">
        <v>-5.8764985995524585E-2</v>
      </c>
      <c r="U29" s="758">
        <v>1.8370532580499935E-2</v>
      </c>
      <c r="V29" s="758">
        <v>-2.026715917745495E-2</v>
      </c>
      <c r="W29" s="758">
        <v>-9.7024973512938609E-2</v>
      </c>
      <c r="X29" s="758">
        <v>-0.32110567646398863</v>
      </c>
      <c r="Y29" s="758">
        <v>-0.30492624664078866</v>
      </c>
      <c r="Z29" s="758">
        <v>-0.18501036700718967</v>
      </c>
      <c r="AA29" s="758">
        <v>-0.1694866473370982</v>
      </c>
      <c r="AB29" s="758">
        <v>-0.20121366478572283</v>
      </c>
      <c r="AC29" s="758">
        <v>-0.20116764504078435</v>
      </c>
      <c r="AD29" s="758">
        <v>-5.5980688175340756E-2</v>
      </c>
      <c r="AE29" s="758">
        <v>0.12915346534653641</v>
      </c>
    </row>
    <row r="30" spans="2:31" x14ac:dyDescent="0.25">
      <c r="G30" s="733" t="s">
        <v>388</v>
      </c>
      <c r="H30" s="758">
        <v>-0.27234274097106048</v>
      </c>
      <c r="I30" s="758">
        <v>-0.27147417297728038</v>
      </c>
      <c r="J30" s="758">
        <v>-0.27472002390914502</v>
      </c>
      <c r="K30" s="758">
        <v>-0.27067059948979644</v>
      </c>
      <c r="L30" s="758">
        <v>-0.27227761836441722</v>
      </c>
      <c r="M30" s="758">
        <v>-0.26896656438050626</v>
      </c>
      <c r="N30" s="758">
        <v>-0.27545719635103438</v>
      </c>
      <c r="O30" s="758">
        <v>-0.27618290060528772</v>
      </c>
      <c r="P30" s="758">
        <v>-0.49724616543141303</v>
      </c>
      <c r="Q30" s="758">
        <v>-0.49140501664289082</v>
      </c>
      <c r="R30" s="758">
        <v>-0.40775016910038719</v>
      </c>
      <c r="S30" s="758">
        <v>-0.36646860423394484</v>
      </c>
      <c r="T30" s="758">
        <v>-0.23382985942801682</v>
      </c>
      <c r="U30" s="758">
        <v>-0.23043091959129361</v>
      </c>
      <c r="V30" s="758">
        <v>-0.22539423309910328</v>
      </c>
      <c r="W30" s="758">
        <v>-0.2153568659127616</v>
      </c>
      <c r="X30" s="758">
        <v>-0.21450157499394235</v>
      </c>
      <c r="Y30" s="758">
        <v>-0.21780918157225304</v>
      </c>
      <c r="Z30" s="758">
        <v>-0.38197295005854043</v>
      </c>
      <c r="AA30" s="758">
        <v>-0.38603656617023901</v>
      </c>
      <c r="AB30" s="758">
        <v>-0.24939727918781862</v>
      </c>
      <c r="AC30" s="758">
        <v>-0.20127336932256551</v>
      </c>
      <c r="AD30" s="758">
        <v>-0.19873885867359209</v>
      </c>
      <c r="AE30" s="758">
        <v>-0.19788871301594999</v>
      </c>
    </row>
    <row r="31" spans="2:31" x14ac:dyDescent="0.25">
      <c r="G31" s="733" t="s">
        <v>630</v>
      </c>
      <c r="H31" s="758">
        <v>0</v>
      </c>
      <c r="I31" s="758">
        <v>0</v>
      </c>
      <c r="J31" s="758">
        <v>0</v>
      </c>
      <c r="K31" s="758">
        <v>0</v>
      </c>
      <c r="L31" s="758">
        <v>0</v>
      </c>
      <c r="M31" s="758">
        <v>0</v>
      </c>
      <c r="N31" s="758">
        <v>0</v>
      </c>
      <c r="O31" s="758">
        <v>0</v>
      </c>
      <c r="P31" s="758">
        <v>0</v>
      </c>
      <c r="Q31" s="758">
        <v>0</v>
      </c>
      <c r="R31" s="758">
        <v>0</v>
      </c>
      <c r="S31" s="758">
        <v>0</v>
      </c>
      <c r="T31" s="758">
        <v>-0.32</v>
      </c>
      <c r="U31" s="758">
        <v>-0.32</v>
      </c>
      <c r="V31" s="758">
        <v>-0.32</v>
      </c>
      <c r="W31" s="758">
        <v>-0.32</v>
      </c>
      <c r="X31" s="758">
        <v>-0.32</v>
      </c>
      <c r="Y31" s="758">
        <v>-0.32</v>
      </c>
      <c r="Z31" s="758">
        <v>-0.32</v>
      </c>
      <c r="AA31" s="758">
        <v>-0.32</v>
      </c>
      <c r="AB31" s="758">
        <v>-0.32</v>
      </c>
      <c r="AC31" s="758">
        <v>-0.32</v>
      </c>
      <c r="AD31" s="758">
        <v>-0.32</v>
      </c>
      <c r="AE31" s="758">
        <v>-0.32</v>
      </c>
    </row>
    <row r="32" spans="2:31" x14ac:dyDescent="0.25">
      <c r="D32" s="457" t="s">
        <v>522</v>
      </c>
      <c r="E32" s="142"/>
    </row>
    <row r="33" spans="2:24" x14ac:dyDescent="0.25">
      <c r="B33" s="918" t="s">
        <v>522</v>
      </c>
      <c r="C33" s="918"/>
      <c r="D33" s="918" t="s">
        <v>522</v>
      </c>
      <c r="E33" s="918"/>
      <c r="G33" s="733" t="s">
        <v>627</v>
      </c>
    </row>
    <row r="34" spans="2:24" x14ac:dyDescent="0.25">
      <c r="H34" s="733" t="s">
        <v>616</v>
      </c>
      <c r="I34" s="733" t="s">
        <v>617</v>
      </c>
      <c r="J34" s="733" t="s">
        <v>618</v>
      </c>
      <c r="K34" s="733" t="s">
        <v>619</v>
      </c>
      <c r="L34" s="733" t="s">
        <v>620</v>
      </c>
      <c r="M34" s="733" t="s">
        <v>621</v>
      </c>
      <c r="N34" s="733" t="s">
        <v>622</v>
      </c>
      <c r="O34" s="733" t="s">
        <v>623</v>
      </c>
      <c r="P34" s="733" t="s">
        <v>624</v>
      </c>
      <c r="Q34" s="733" t="s">
        <v>625</v>
      </c>
      <c r="R34" s="733" t="s">
        <v>626</v>
      </c>
    </row>
    <row r="35" spans="2:24" x14ac:dyDescent="0.25">
      <c r="G35" s="733" t="s">
        <v>253</v>
      </c>
      <c r="H35" s="759">
        <v>2.8437960544144183E-2</v>
      </c>
      <c r="I35" s="759">
        <v>1.7141142025959719E-2</v>
      </c>
      <c r="J35" s="759">
        <v>9.6396912784290911E-3</v>
      </c>
      <c r="K35" s="759">
        <v>-5.7383380697291573E-3</v>
      </c>
      <c r="L35" s="759">
        <v>3.3843796511753482E-2</v>
      </c>
      <c r="M35" s="759">
        <v>-4.4894497628523719E-3</v>
      </c>
      <c r="N35" s="759">
        <v>-2.4182912397330947E-2</v>
      </c>
      <c r="O35" s="759">
        <v>7.3181225405390639E-3</v>
      </c>
      <c r="P35" s="759">
        <v>-5.4395594168102591E-3</v>
      </c>
      <c r="Q35" s="759">
        <v>6.93894718992389E-3</v>
      </c>
      <c r="R35" s="759">
        <v>-1.0837098602323595E-2</v>
      </c>
    </row>
    <row r="36" spans="2:24" x14ac:dyDescent="0.25">
      <c r="G36" s="733" t="s">
        <v>611</v>
      </c>
      <c r="H36" s="759">
        <v>4.9050687643976867E-2</v>
      </c>
      <c r="I36" s="759">
        <v>4.6140936916302902E-2</v>
      </c>
      <c r="J36" s="759">
        <v>3.6911468145674496E-2</v>
      </c>
      <c r="K36" s="759">
        <v>1.984826179520285E-2</v>
      </c>
      <c r="L36" s="759">
        <v>5.3983563472318002E-2</v>
      </c>
      <c r="M36" s="759">
        <v>3.2395566017122263E-2</v>
      </c>
      <c r="N36" s="759">
        <v>1.006348944675942E-2</v>
      </c>
      <c r="O36" s="759">
        <v>1.4768660595401504E-2</v>
      </c>
      <c r="P36" s="759">
        <v>3.4416073631355619E-2</v>
      </c>
      <c r="Q36" s="759">
        <v>4.1801294903675082E-2</v>
      </c>
      <c r="R36" s="759">
        <v>2.2738396417938705E-2</v>
      </c>
    </row>
    <row r="37" spans="2:24" x14ac:dyDescent="0.25">
      <c r="G37" s="733" t="s">
        <v>255</v>
      </c>
      <c r="H37" s="759">
        <v>1.3219093548197472E-3</v>
      </c>
      <c r="I37" s="759">
        <v>3.1835268089330663E-3</v>
      </c>
      <c r="J37" s="759">
        <v>3.3204522999231135E-3</v>
      </c>
      <c r="K37" s="759">
        <v>-2.1331867652968051E-3</v>
      </c>
      <c r="L37" s="759">
        <v>3.907732571099486E-3</v>
      </c>
      <c r="M37" s="759">
        <v>1.8143216451177808E-3</v>
      </c>
      <c r="N37" s="759">
        <v>3.4471208208045759E-3</v>
      </c>
      <c r="O37" s="759">
        <v>-4.0562391678321662E-3</v>
      </c>
      <c r="P37" s="759">
        <v>4.3851016242496413E-3</v>
      </c>
      <c r="Q37" s="759">
        <v>5.3449725705472587E-3</v>
      </c>
      <c r="R37" s="759">
        <v>6.1874158374945051E-3</v>
      </c>
    </row>
    <row r="38" spans="2:24" x14ac:dyDescent="0.25">
      <c r="G38" s="733" t="s">
        <v>612</v>
      </c>
      <c r="H38" s="759">
        <v>-3.5763708575585521E-3</v>
      </c>
      <c r="I38" s="759">
        <v>-1.5185753270580615E-2</v>
      </c>
      <c r="J38" s="759">
        <v>-1.5860027900013989E-2</v>
      </c>
      <c r="K38" s="759">
        <v>-1.0347755181488861E-2</v>
      </c>
      <c r="L38" s="759">
        <v>-8.5907512439387431E-3</v>
      </c>
      <c r="M38" s="759">
        <v>-2.3174753429924155E-2</v>
      </c>
      <c r="N38" s="759">
        <v>-2.3557985920511556E-2</v>
      </c>
      <c r="O38" s="759">
        <v>8.3859464765787973E-3</v>
      </c>
      <c r="P38" s="759">
        <v>-2.7428209265678495E-2</v>
      </c>
      <c r="Q38" s="759">
        <v>-2.69801418923225E-2</v>
      </c>
      <c r="R38" s="759">
        <v>-2.5320730857060596E-2</v>
      </c>
    </row>
    <row r="39" spans="2:24" x14ac:dyDescent="0.25">
      <c r="G39" s="733" t="s">
        <v>613</v>
      </c>
      <c r="H39" s="759">
        <v>-1.8358265597094012E-2</v>
      </c>
      <c r="I39" s="759">
        <v>-1.699756842869574E-2</v>
      </c>
      <c r="J39" s="759">
        <v>-1.4732201267154202E-2</v>
      </c>
      <c r="K39" s="759">
        <v>-1.3105657918146716E-2</v>
      </c>
      <c r="L39" s="759">
        <v>-1.545674828772549E-2</v>
      </c>
      <c r="M39" s="759">
        <v>-1.5524583995167906E-2</v>
      </c>
      <c r="N39" s="759">
        <v>-1.4135536744383125E-2</v>
      </c>
      <c r="O39" s="759">
        <v>-1.1780245363608981E-2</v>
      </c>
      <c r="P39" s="759">
        <v>-1.6812525406737229E-2</v>
      </c>
      <c r="Q39" s="759">
        <v>-1.3227178391975934E-2</v>
      </c>
      <c r="R39" s="759">
        <v>-1.4442180000696275E-2</v>
      </c>
    </row>
    <row r="42" spans="2:24" x14ac:dyDescent="0.25">
      <c r="G42" s="733" t="s">
        <v>628</v>
      </c>
      <c r="H42" s="733">
        <v>2004</v>
      </c>
      <c r="I42" s="733">
        <v>2005</v>
      </c>
      <c r="J42" s="733">
        <v>2006</v>
      </c>
      <c r="K42" s="733">
        <v>2007</v>
      </c>
      <c r="L42" s="733">
        <v>2008</v>
      </c>
      <c r="M42" s="733">
        <v>2009</v>
      </c>
      <c r="N42" s="733">
        <v>2010</v>
      </c>
      <c r="O42" s="733">
        <v>2011</v>
      </c>
      <c r="P42" s="733">
        <v>2012</v>
      </c>
      <c r="Q42" s="733">
        <v>2013</v>
      </c>
      <c r="R42" s="733">
        <v>2014</v>
      </c>
      <c r="S42" s="733">
        <v>2015</v>
      </c>
      <c r="T42" s="733" t="s">
        <v>267</v>
      </c>
      <c r="U42" s="733" t="s">
        <v>268</v>
      </c>
      <c r="V42" s="733" t="s">
        <v>269</v>
      </c>
    </row>
    <row r="43" spans="2:24" x14ac:dyDescent="0.25">
      <c r="G43" s="733" t="s">
        <v>253</v>
      </c>
      <c r="H43" s="759">
        <v>-0.10132255017165502</v>
      </c>
      <c r="I43" s="759">
        <v>-0.10620351531348463</v>
      </c>
      <c r="J43" s="759">
        <v>-9.4582912824692805E-2</v>
      </c>
      <c r="K43" s="759">
        <v>-5.8667689116681715E-2</v>
      </c>
      <c r="L43" s="759">
        <v>-6.4465229010381597E-2</v>
      </c>
      <c r="M43" s="759">
        <v>-3.4471959708261321E-2</v>
      </c>
      <c r="N43" s="759">
        <v>-4.7116420324046726E-2</v>
      </c>
      <c r="O43" s="759">
        <v>-4.9513494869753462E-2</v>
      </c>
      <c r="P43" s="759">
        <v>9.3943181843189998E-3</v>
      </c>
      <c r="Q43" s="759">
        <v>1.8295836530947601E-2</v>
      </c>
      <c r="R43" s="759">
        <v>1.1903137951575294E-2</v>
      </c>
      <c r="S43" s="759">
        <v>2.135079082439597E-3</v>
      </c>
      <c r="T43" s="759">
        <v>2E-3</v>
      </c>
      <c r="U43" s="759">
        <v>1.7000000000000001E-2</v>
      </c>
      <c r="V43" s="759">
        <v>2.4E-2</v>
      </c>
    </row>
    <row r="44" spans="2:24" x14ac:dyDescent="0.25">
      <c r="G44" s="733" t="s">
        <v>611</v>
      </c>
      <c r="H44" s="759">
        <v>-6.0856892698324921E-2</v>
      </c>
      <c r="I44" s="759">
        <v>-7.1463097645733137E-2</v>
      </c>
      <c r="J44" s="759">
        <v>-6.2382607623707405E-2</v>
      </c>
      <c r="K44" s="759">
        <v>-1.8318106444366704E-2</v>
      </c>
      <c r="L44" s="759">
        <v>-1.8438084036521623E-2</v>
      </c>
      <c r="M44" s="759">
        <v>3.6236949036323636E-3</v>
      </c>
      <c r="N44" s="759">
        <v>-1.1838296563830835E-3</v>
      </c>
      <c r="O44" s="759">
        <v>-5.0971856314301533E-4</v>
      </c>
      <c r="P44" s="759">
        <v>3.4468757496198266E-2</v>
      </c>
      <c r="Q44" s="759">
        <v>4.0622959077188742E-2</v>
      </c>
      <c r="R44" s="759">
        <v>3.7644990490656817E-2</v>
      </c>
      <c r="S44" s="759">
        <v>2.6866411787364933E-2</v>
      </c>
      <c r="T44" s="759">
        <v>0.03</v>
      </c>
      <c r="U44" s="759">
        <v>4.5999999999999999E-2</v>
      </c>
      <c r="V44" s="759">
        <v>5.7999999999999996E-2</v>
      </c>
      <c r="W44" s="759"/>
      <c r="X44" s="759"/>
    </row>
    <row r="45" spans="2:24" x14ac:dyDescent="0.25">
      <c r="G45" s="733" t="s">
        <v>255</v>
      </c>
      <c r="H45" s="759">
        <v>2.0967258818921222E-2</v>
      </c>
      <c r="I45" s="759">
        <v>1.6518852585251258E-2</v>
      </c>
      <c r="J45" s="759">
        <v>2.164966024071702E-2</v>
      </c>
      <c r="K45" s="759">
        <v>1.1140109350744833E-2</v>
      </c>
      <c r="L45" s="759">
        <v>-5.1124465991339695E-3</v>
      </c>
      <c r="M45" s="759">
        <v>-1.4104295249913898E-2</v>
      </c>
      <c r="N45" s="759">
        <v>-9.6334138288173433E-3</v>
      </c>
      <c r="O45" s="759">
        <v>-3.80873037459642E-3</v>
      </c>
      <c r="P45" s="759">
        <v>5.8043957156407294E-3</v>
      </c>
      <c r="Q45" s="759">
        <v>4.8132746068889421E-3</v>
      </c>
      <c r="R45" s="759">
        <v>1.4220563039492608E-3</v>
      </c>
      <c r="S45" s="759">
        <v>1.2073363859033436E-3</v>
      </c>
      <c r="T45" s="759">
        <v>4.0000000000000001E-3</v>
      </c>
      <c r="U45" s="759">
        <v>5.0000000000000001E-3</v>
      </c>
      <c r="V45" s="759">
        <v>5.0000000000000001E-3</v>
      </c>
      <c r="W45" s="759"/>
      <c r="X45" s="759"/>
    </row>
    <row r="46" spans="2:24" x14ac:dyDescent="0.25">
      <c r="G46" s="733" t="s">
        <v>612</v>
      </c>
      <c r="H46" s="759">
        <v>-5.8984816018064094E-2</v>
      </c>
      <c r="I46" s="759">
        <v>-4.6049478283808121E-2</v>
      </c>
      <c r="J46" s="759">
        <v>-4.6984369033045446E-2</v>
      </c>
      <c r="K46" s="759">
        <v>-4.2659334212341853E-2</v>
      </c>
      <c r="L46" s="759">
        <v>-2.9464633062464416E-2</v>
      </c>
      <c r="M46" s="759">
        <v>-8.7624691419730862E-3</v>
      </c>
      <c r="N46" s="759">
        <v>-2.7923582019935982E-2</v>
      </c>
      <c r="O46" s="759">
        <v>-3.4066190636724857E-2</v>
      </c>
      <c r="P46" s="759">
        <v>-1.6642935582761333E-2</v>
      </c>
      <c r="Q46" s="759">
        <v>-9.316450289524535E-3</v>
      </c>
      <c r="R46" s="759">
        <v>-1.1455453559591267E-2</v>
      </c>
      <c r="S46" s="759">
        <v>-1.1781061365604206E-2</v>
      </c>
      <c r="T46" s="759">
        <v>-1.7000000000000001E-2</v>
      </c>
      <c r="U46" s="759">
        <v>-0.02</v>
      </c>
      <c r="V46" s="759">
        <v>-2.5000000000000001E-2</v>
      </c>
      <c r="W46" s="759"/>
      <c r="X46" s="759"/>
    </row>
    <row r="47" spans="2:24" x14ac:dyDescent="0.25">
      <c r="G47" s="733" t="s">
        <v>613</v>
      </c>
      <c r="H47" s="759">
        <v>-2.4192990944909101E-3</v>
      </c>
      <c r="I47" s="759">
        <v>-5.1589647304707779E-3</v>
      </c>
      <c r="J47" s="759">
        <v>-6.8875312214641791E-3</v>
      </c>
      <c r="K47" s="759">
        <v>-8.8303578107179932E-3</v>
      </c>
      <c r="L47" s="759">
        <v>-1.143493973060734E-2</v>
      </c>
      <c r="M47" s="759">
        <v>-1.52288902200067E-2</v>
      </c>
      <c r="N47" s="759">
        <v>-8.3755948189103164E-3</v>
      </c>
      <c r="O47" s="759">
        <v>-1.1114696446312973E-2</v>
      </c>
      <c r="P47" s="759">
        <v>-1.4222144952541501E-2</v>
      </c>
      <c r="Q47" s="759">
        <v>-1.781046430168149E-2</v>
      </c>
      <c r="R47" s="759">
        <v>-1.5708455283439518E-2</v>
      </c>
      <c r="S47" s="759">
        <v>-1.4183025333348753E-2</v>
      </c>
      <c r="T47" s="759">
        <v>-1.4E-2</v>
      </c>
      <c r="U47" s="759">
        <v>-1.3999999999999999E-2</v>
      </c>
      <c r="V47" s="759">
        <v>-1.4999999999999999E-2</v>
      </c>
      <c r="W47" s="759"/>
      <c r="X47" s="759"/>
    </row>
    <row r="52" spans="2:11" x14ac:dyDescent="0.25">
      <c r="G52" s="733" t="s">
        <v>253</v>
      </c>
      <c r="H52" s="733" t="s">
        <v>611</v>
      </c>
      <c r="I52" s="733" t="s">
        <v>255</v>
      </c>
      <c r="J52" s="733" t="s">
        <v>612</v>
      </c>
      <c r="K52" s="733" t="s">
        <v>613</v>
      </c>
    </row>
    <row r="53" spans="2:11" x14ac:dyDescent="0.25">
      <c r="G53" s="733" t="s">
        <v>684</v>
      </c>
      <c r="H53" s="733" t="s">
        <v>382</v>
      </c>
      <c r="I53" s="733" t="s">
        <v>383</v>
      </c>
      <c r="J53" s="733" t="s">
        <v>614</v>
      </c>
      <c r="K53" s="733" t="s">
        <v>615</v>
      </c>
    </row>
    <row r="54" spans="2:11" x14ac:dyDescent="0.25">
      <c r="F54" s="40">
        <v>2004</v>
      </c>
      <c r="G54" s="759">
        <v>-0.10134010896574169</v>
      </c>
      <c r="H54" s="759">
        <v>-6.0873430770419359E-2</v>
      </c>
      <c r="I54" s="759">
        <v>2.0954560538831574E-2</v>
      </c>
      <c r="J54" s="759">
        <v>-5.9000808082590513E-2</v>
      </c>
      <c r="K54" s="759">
        <v>-2.4204306515631245E-3</v>
      </c>
    </row>
    <row r="55" spans="2:11" x14ac:dyDescent="0.25">
      <c r="F55" s="40">
        <v>2005</v>
      </c>
      <c r="G55" s="759">
        <v>-0.10619534912978273</v>
      </c>
      <c r="H55" s="759">
        <v>-7.1484024082827516E-2</v>
      </c>
      <c r="I55" s="759">
        <v>1.6493865064537056E-2</v>
      </c>
      <c r="J55" s="759">
        <v>-4.6052924941857649E-2</v>
      </c>
      <c r="K55" s="759">
        <v>-5.152265169634661E-3</v>
      </c>
    </row>
    <row r="56" spans="2:11" x14ac:dyDescent="0.25">
      <c r="F56" s="40">
        <v>2006</v>
      </c>
      <c r="G56" s="759">
        <v>-9.4585714118611816E-2</v>
      </c>
      <c r="H56" s="759">
        <v>-6.2379113119699708E-2</v>
      </c>
      <c r="I56" s="759">
        <v>2.1656511390117917E-2</v>
      </c>
      <c r="J56" s="759">
        <v>-4.6977717602834396E-2</v>
      </c>
      <c r="K56" s="759">
        <v>-6.8853947861957096E-3</v>
      </c>
    </row>
    <row r="57" spans="2:11" x14ac:dyDescent="0.25">
      <c r="B57" s="457"/>
      <c r="F57" s="40">
        <v>2007</v>
      </c>
      <c r="G57" s="759">
        <v>-5.867669437444379E-2</v>
      </c>
      <c r="H57" s="759">
        <v>-1.8324590227722842E-2</v>
      </c>
      <c r="I57" s="759">
        <v>1.1144104125411159E-2</v>
      </c>
      <c r="J57" s="759">
        <v>-4.2660831060569546E-2</v>
      </c>
      <c r="K57" s="759">
        <v>-8.8353772115626478E-3</v>
      </c>
    </row>
    <row r="58" spans="2:11" x14ac:dyDescent="0.25">
      <c r="F58" s="40">
        <v>2008</v>
      </c>
      <c r="G58" s="759">
        <v>-6.4466916235287289E-2</v>
      </c>
      <c r="H58" s="759">
        <v>-1.8421682930434734E-2</v>
      </c>
      <c r="I58" s="759">
        <v>-5.1277071989401513E-3</v>
      </c>
      <c r="J58" s="759">
        <v>-2.946896199803397E-2</v>
      </c>
      <c r="K58" s="759">
        <v>-1.1448564107878572E-2</v>
      </c>
    </row>
    <row r="59" spans="2:11" x14ac:dyDescent="0.25">
      <c r="F59" s="40">
        <v>2009</v>
      </c>
      <c r="G59" s="759">
        <v>-3.4474074960460566E-2</v>
      </c>
      <c r="H59" s="759">
        <v>3.6219355355178772E-3</v>
      </c>
      <c r="I59" s="759">
        <v>-1.4104157451871725E-2</v>
      </c>
      <c r="J59" s="759">
        <v>-8.7642723753404463E-3</v>
      </c>
      <c r="K59" s="759">
        <v>-1.5227580668766248E-2</v>
      </c>
    </row>
    <row r="60" spans="2:11" x14ac:dyDescent="0.25">
      <c r="F60" s="40">
        <v>2010</v>
      </c>
      <c r="G60" s="759">
        <v>-4.7108839167890951E-2</v>
      </c>
      <c r="H60" s="759">
        <v>-1.1822474702912749E-3</v>
      </c>
      <c r="I60" s="759">
        <v>-9.6383353809020144E-3</v>
      </c>
      <c r="J60" s="759">
        <v>-2.7911181710716819E-2</v>
      </c>
      <c r="K60" s="759">
        <v>-8.3770746059807968E-3</v>
      </c>
    </row>
    <row r="61" spans="2:11" x14ac:dyDescent="0.25">
      <c r="F61" s="40">
        <v>2011</v>
      </c>
      <c r="G61" s="759">
        <v>-4.9513363034336233E-2</v>
      </c>
      <c r="H61" s="759">
        <v>-5.0875063805645661E-4</v>
      </c>
      <c r="I61" s="759">
        <v>-3.8170241746350625E-3</v>
      </c>
      <c r="J61" s="759">
        <v>-3.4059275992745636E-2</v>
      </c>
      <c r="K61" s="759">
        <v>-1.1128312228899208E-2</v>
      </c>
    </row>
    <row r="62" spans="2:11" x14ac:dyDescent="0.25">
      <c r="F62" s="40">
        <v>2012</v>
      </c>
      <c r="G62" s="759">
        <v>9.4038013929594322E-3</v>
      </c>
      <c r="H62" s="759">
        <v>3.4465751185170521E-2</v>
      </c>
      <c r="I62" s="759">
        <v>5.7961021975686117E-3</v>
      </c>
      <c r="J62" s="759">
        <v>-1.6640231845630495E-2</v>
      </c>
      <c r="K62" s="759">
        <v>-1.4217820144149363E-2</v>
      </c>
    </row>
    <row r="63" spans="2:11" x14ac:dyDescent="0.25">
      <c r="F63" s="40">
        <v>2013</v>
      </c>
      <c r="G63" s="759">
        <v>1.829450620064732E-2</v>
      </c>
      <c r="H63" s="759">
        <v>4.0607497404084619E-2</v>
      </c>
      <c r="I63" s="759">
        <v>4.819451238157595E-3</v>
      </c>
      <c r="J63" s="759">
        <v>-9.3174793605157805E-3</v>
      </c>
      <c r="K63" s="759">
        <v>-1.7814963081079094E-2</v>
      </c>
    </row>
    <row r="64" spans="2:11" x14ac:dyDescent="0.25">
      <c r="F64" s="40">
        <v>2014</v>
      </c>
      <c r="G64" s="759">
        <v>1.1904173775555265E-2</v>
      </c>
      <c r="H64" s="759">
        <v>3.7639859620143386E-2</v>
      </c>
      <c r="I64" s="759">
        <v>1.4282448823090552E-3</v>
      </c>
      <c r="J64" s="759">
        <v>-1.1447575130658007E-2</v>
      </c>
      <c r="K64" s="759">
        <v>-1.5716355596239236E-2</v>
      </c>
    </row>
    <row r="65" spans="6:11" x14ac:dyDescent="0.25">
      <c r="F65" s="40">
        <v>2015</v>
      </c>
      <c r="G65" s="759">
        <v>2.1292394608023245E-3</v>
      </c>
      <c r="H65" s="759">
        <v>2.6879710019648121E-2</v>
      </c>
      <c r="I65" s="759">
        <v>1.2061347340407873E-3</v>
      </c>
      <c r="J65" s="759">
        <v>-1.1782183819887769E-2</v>
      </c>
      <c r="K65" s="759">
        <v>-1.4174421472998685E-2</v>
      </c>
    </row>
    <row r="66" spans="6:11" x14ac:dyDescent="0.25">
      <c r="F66" s="40">
        <v>2016</v>
      </c>
      <c r="G66" s="759">
        <v>-6.0461092148909297E-3</v>
      </c>
      <c r="H66" s="759">
        <v>3.0053213890917137E-2</v>
      </c>
      <c r="I66" s="759">
        <v>4.11694952938561E-3</v>
      </c>
      <c r="J66" s="759">
        <v>-2.550555843770845E-2</v>
      </c>
      <c r="K66" s="759">
        <v>-1.4710714197485118E-2</v>
      </c>
    </row>
  </sheetData>
  <mergeCells count="2">
    <mergeCell ref="B33:C33"/>
    <mergeCell ref="D33:E3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3:I40"/>
  <sheetViews>
    <sheetView showGridLines="0" zoomScale="85" zoomScaleNormal="85" workbookViewId="0">
      <selection activeCell="D18" sqref="D18"/>
    </sheetView>
  </sheetViews>
  <sheetFormatPr defaultRowHeight="13.5" x14ac:dyDescent="0.25"/>
  <cols>
    <col min="1" max="1" width="9.140625" style="40"/>
    <col min="2" max="2" width="29.140625" style="40" customWidth="1"/>
    <col min="3" max="16384" width="9.140625" style="40"/>
  </cols>
  <sheetData>
    <row r="3" spans="1:9" ht="14.25" thickBot="1" x14ac:dyDescent="0.3">
      <c r="A3" s="896" t="s">
        <v>596</v>
      </c>
      <c r="B3" s="896"/>
      <c r="C3" s="896"/>
      <c r="D3" s="896"/>
      <c r="E3" s="896"/>
      <c r="F3" s="896"/>
      <c r="G3" s="896"/>
      <c r="H3" s="896"/>
      <c r="I3" s="896"/>
    </row>
    <row r="4" spans="1:9" ht="14.25" thickBot="1" x14ac:dyDescent="0.3">
      <c r="A4" s="180" t="s">
        <v>22</v>
      </c>
      <c r="B4" s="180" t="s">
        <v>23</v>
      </c>
      <c r="C4" s="180"/>
      <c r="D4" s="924" t="s">
        <v>24</v>
      </c>
      <c r="E4" s="924"/>
      <c r="F4" s="924" t="s">
        <v>25</v>
      </c>
      <c r="G4" s="924"/>
      <c r="H4" s="924"/>
      <c r="I4" s="924"/>
    </row>
    <row r="5" spans="1:9" ht="14.25" thickBot="1" x14ac:dyDescent="0.3">
      <c r="A5" s="180"/>
      <c r="B5" s="180"/>
      <c r="C5" s="180" t="s">
        <v>26</v>
      </c>
      <c r="D5" s="180">
        <v>2015</v>
      </c>
      <c r="E5" s="180">
        <v>2016</v>
      </c>
      <c r="F5" s="180">
        <v>2017</v>
      </c>
      <c r="G5" s="180">
        <v>2018</v>
      </c>
      <c r="H5" s="180">
        <v>2019</v>
      </c>
      <c r="I5" s="180">
        <v>2020</v>
      </c>
    </row>
    <row r="6" spans="1:9" x14ac:dyDescent="0.25">
      <c r="A6" s="110">
        <v>1</v>
      </c>
      <c r="B6" s="6" t="s">
        <v>27</v>
      </c>
      <c r="C6" s="110" t="s">
        <v>28</v>
      </c>
      <c r="D6" s="145">
        <v>78.7</v>
      </c>
      <c r="E6" s="226">
        <v>81</v>
      </c>
      <c r="F6" s="145">
        <v>84.6</v>
      </c>
      <c r="G6" s="145">
        <v>89.4</v>
      </c>
      <c r="H6" s="145">
        <v>95.1</v>
      </c>
      <c r="I6" s="145">
        <v>100.7</v>
      </c>
    </row>
    <row r="7" spans="1:9" x14ac:dyDescent="0.25">
      <c r="A7" s="110">
        <v>2</v>
      </c>
      <c r="B7" s="6" t="s">
        <v>29</v>
      </c>
      <c r="C7" s="110" t="s">
        <v>30</v>
      </c>
      <c r="D7" s="145">
        <v>3.8</v>
      </c>
      <c r="E7" s="145">
        <v>3.3</v>
      </c>
      <c r="F7" s="145">
        <v>3.3</v>
      </c>
      <c r="G7" s="145">
        <v>4</v>
      </c>
      <c r="H7" s="145">
        <v>4.4000000000000004</v>
      </c>
      <c r="I7" s="145">
        <v>3.8</v>
      </c>
    </row>
    <row r="8" spans="1:9" x14ac:dyDescent="0.25">
      <c r="A8" s="110">
        <v>3</v>
      </c>
      <c r="B8" s="6" t="s">
        <v>31</v>
      </c>
      <c r="C8" s="110" t="s">
        <v>30</v>
      </c>
      <c r="D8" s="145">
        <v>2.2000000000000002</v>
      </c>
      <c r="E8" s="145">
        <v>2.9</v>
      </c>
      <c r="F8" s="145">
        <v>2.5</v>
      </c>
      <c r="G8" s="145">
        <v>2.7</v>
      </c>
      <c r="H8" s="145">
        <v>2.9</v>
      </c>
      <c r="I8" s="145">
        <v>2.9</v>
      </c>
    </row>
    <row r="9" spans="1:9" x14ac:dyDescent="0.25">
      <c r="A9" s="110">
        <v>4</v>
      </c>
      <c r="B9" s="17" t="s">
        <v>32</v>
      </c>
      <c r="C9" s="110" t="s">
        <v>30</v>
      </c>
      <c r="D9" s="145">
        <v>5.4</v>
      </c>
      <c r="E9" s="145">
        <v>1.6</v>
      </c>
      <c r="F9" s="226">
        <v>1.6</v>
      </c>
      <c r="G9" s="226">
        <v>2</v>
      </c>
      <c r="H9" s="226">
        <v>1.9</v>
      </c>
      <c r="I9" s="226">
        <v>1.4</v>
      </c>
    </row>
    <row r="10" spans="1:9" x14ac:dyDescent="0.25">
      <c r="A10" s="110">
        <v>5</v>
      </c>
      <c r="B10" s="17" t="s">
        <v>33</v>
      </c>
      <c r="C10" s="110" t="s">
        <v>30</v>
      </c>
      <c r="D10" s="145">
        <v>16.899999999999999</v>
      </c>
      <c r="E10" s="145">
        <v>-9.3000000000000007</v>
      </c>
      <c r="F10" s="226">
        <v>3</v>
      </c>
      <c r="G10" s="226">
        <v>1.9</v>
      </c>
      <c r="H10" s="226">
        <v>2</v>
      </c>
      <c r="I10" s="226">
        <v>3.6</v>
      </c>
    </row>
    <row r="11" spans="1:9" x14ac:dyDescent="0.25">
      <c r="A11" s="110">
        <v>6</v>
      </c>
      <c r="B11" s="17" t="s">
        <v>34</v>
      </c>
      <c r="C11" s="110" t="s">
        <v>30</v>
      </c>
      <c r="D11" s="226">
        <v>7</v>
      </c>
      <c r="E11" s="226">
        <v>4.8</v>
      </c>
      <c r="F11" s="145">
        <v>5.6</v>
      </c>
      <c r="G11" s="145">
        <v>7.3</v>
      </c>
      <c r="H11" s="145">
        <v>7.7</v>
      </c>
      <c r="I11" s="145">
        <v>6.2</v>
      </c>
    </row>
    <row r="12" spans="1:9" x14ac:dyDescent="0.25">
      <c r="A12" s="110">
        <v>7</v>
      </c>
      <c r="B12" s="17" t="s">
        <v>35</v>
      </c>
      <c r="C12" s="110" t="s">
        <v>30</v>
      </c>
      <c r="D12" s="145">
        <v>8.1</v>
      </c>
      <c r="E12" s="145">
        <v>2.9</v>
      </c>
      <c r="F12" s="145">
        <v>4.2</v>
      </c>
      <c r="G12" s="226">
        <v>6</v>
      </c>
      <c r="H12" s="145">
        <v>6.3</v>
      </c>
      <c r="I12" s="145">
        <v>5.5</v>
      </c>
    </row>
    <row r="13" spans="1:9" x14ac:dyDescent="0.25">
      <c r="A13" s="110">
        <v>8</v>
      </c>
      <c r="B13" s="6" t="s">
        <v>36</v>
      </c>
      <c r="C13" s="110" t="s">
        <v>30</v>
      </c>
      <c r="D13" s="145">
        <v>-0.7</v>
      </c>
      <c r="E13" s="145">
        <v>-0.2</v>
      </c>
      <c r="F13" s="145">
        <v>0.2</v>
      </c>
      <c r="G13" s="145">
        <v>0.7</v>
      </c>
      <c r="H13" s="145">
        <v>1.3</v>
      </c>
      <c r="I13" s="145">
        <v>1.3</v>
      </c>
    </row>
    <row r="14" spans="1:9" x14ac:dyDescent="0.25">
      <c r="A14" s="110">
        <v>9</v>
      </c>
      <c r="B14" s="6" t="s">
        <v>37</v>
      </c>
      <c r="C14" s="110" t="s">
        <v>30</v>
      </c>
      <c r="D14" s="145">
        <v>2.9</v>
      </c>
      <c r="E14" s="145">
        <v>3.3</v>
      </c>
      <c r="F14" s="145">
        <v>3.5</v>
      </c>
      <c r="G14" s="145">
        <v>4.4000000000000004</v>
      </c>
      <c r="H14" s="145">
        <v>4.8</v>
      </c>
      <c r="I14" s="145">
        <v>5.0999999999999996</v>
      </c>
    </row>
    <row r="15" spans="1:9" x14ac:dyDescent="0.25">
      <c r="A15" s="110">
        <v>10</v>
      </c>
      <c r="B15" s="6" t="s">
        <v>38</v>
      </c>
      <c r="C15" s="110" t="s">
        <v>30</v>
      </c>
      <c r="D15" s="145">
        <v>2.6</v>
      </c>
      <c r="E15" s="145">
        <v>2.8</v>
      </c>
      <c r="F15" s="145">
        <v>1.7</v>
      </c>
      <c r="G15" s="145">
        <v>1.1000000000000001</v>
      </c>
      <c r="H15" s="145">
        <v>0.9</v>
      </c>
      <c r="I15" s="145">
        <v>0.9</v>
      </c>
    </row>
    <row r="16" spans="1:9" x14ac:dyDescent="0.25">
      <c r="A16" s="110">
        <v>11</v>
      </c>
      <c r="B16" s="17" t="s">
        <v>39</v>
      </c>
      <c r="C16" s="110" t="s">
        <v>30</v>
      </c>
      <c r="D16" s="226">
        <v>2</v>
      </c>
      <c r="E16" s="145">
        <v>2.4</v>
      </c>
      <c r="F16" s="145">
        <v>1.8</v>
      </c>
      <c r="G16" s="145">
        <v>1.1000000000000001</v>
      </c>
      <c r="H16" s="145">
        <v>0.9</v>
      </c>
      <c r="I16" s="145">
        <v>0.9</v>
      </c>
    </row>
    <row r="17" spans="1:9" ht="27" x14ac:dyDescent="0.25">
      <c r="A17" s="110">
        <v>12</v>
      </c>
      <c r="B17" s="17" t="s">
        <v>40</v>
      </c>
      <c r="C17" s="110" t="s">
        <v>30</v>
      </c>
      <c r="D17" s="145">
        <v>11.5</v>
      </c>
      <c r="E17" s="145">
        <v>9.6</v>
      </c>
      <c r="F17" s="145">
        <v>8.4</v>
      </c>
      <c r="G17" s="145">
        <v>7.6</v>
      </c>
      <c r="H17" s="145">
        <v>4.9000000000000004</v>
      </c>
      <c r="I17" s="145">
        <v>6.2</v>
      </c>
    </row>
    <row r="18" spans="1:9" x14ac:dyDescent="0.25">
      <c r="A18" s="110">
        <v>13</v>
      </c>
      <c r="B18" s="17" t="s">
        <v>41</v>
      </c>
      <c r="C18" s="110" t="s">
        <v>30</v>
      </c>
      <c r="D18" s="145">
        <v>11.5</v>
      </c>
      <c r="E18" s="145">
        <v>9.5</v>
      </c>
      <c r="F18" s="145">
        <v>8.1</v>
      </c>
      <c r="G18" s="145">
        <v>7.4</v>
      </c>
      <c r="H18" s="145">
        <v>6.7</v>
      </c>
      <c r="I18" s="145">
        <v>5.9</v>
      </c>
    </row>
    <row r="19" spans="1:9" ht="27" x14ac:dyDescent="0.25">
      <c r="A19" s="110">
        <v>14</v>
      </c>
      <c r="B19" s="17" t="s">
        <v>42</v>
      </c>
      <c r="C19" s="110" t="s">
        <v>30</v>
      </c>
      <c r="D19" s="145">
        <v>-0.3</v>
      </c>
      <c r="E19" s="145">
        <v>-0.5</v>
      </c>
      <c r="F19" s="145">
        <v>1.1000000000000001</v>
      </c>
      <c r="G19" s="145">
        <v>1.7</v>
      </c>
      <c r="H19" s="145">
        <v>1.9</v>
      </c>
      <c r="I19" s="145">
        <v>2.1</v>
      </c>
    </row>
    <row r="20" spans="1:9" ht="14.25" thickBot="1" x14ac:dyDescent="0.3">
      <c r="A20" s="182">
        <v>15</v>
      </c>
      <c r="B20" s="754" t="s">
        <v>260</v>
      </c>
      <c r="C20" s="182" t="s">
        <v>30</v>
      </c>
      <c r="D20" s="182">
        <v>0.2</v>
      </c>
      <c r="E20" s="182">
        <v>-0.6</v>
      </c>
      <c r="F20" s="182">
        <v>1.7</v>
      </c>
      <c r="G20" s="182">
        <v>2.4</v>
      </c>
      <c r="H20" s="182">
        <v>3.2</v>
      </c>
      <c r="I20" s="182">
        <v>3.7</v>
      </c>
    </row>
    <row r="21" spans="1:9" ht="27" customHeight="1" x14ac:dyDescent="0.25">
      <c r="H21" s="923" t="s">
        <v>284</v>
      </c>
      <c r="I21" s="923"/>
    </row>
    <row r="22" spans="1:9" ht="14.25" thickBot="1" x14ac:dyDescent="0.3">
      <c r="A22" s="896" t="s">
        <v>595</v>
      </c>
      <c r="B22" s="896"/>
      <c r="C22" s="896"/>
      <c r="D22" s="896"/>
      <c r="E22" s="896"/>
      <c r="F22" s="896"/>
      <c r="G22" s="896"/>
      <c r="H22" s="896"/>
      <c r="I22" s="896"/>
    </row>
    <row r="23" spans="1:9" ht="14.25" thickBot="1" x14ac:dyDescent="0.3">
      <c r="A23" s="180" t="s">
        <v>389</v>
      </c>
      <c r="B23" s="180" t="s">
        <v>390</v>
      </c>
      <c r="C23" s="180"/>
      <c r="D23" s="924" t="s">
        <v>391</v>
      </c>
      <c r="E23" s="924"/>
      <c r="F23" s="924" t="s">
        <v>392</v>
      </c>
      <c r="G23" s="924"/>
      <c r="H23" s="924"/>
      <c r="I23" s="924"/>
    </row>
    <row r="24" spans="1:9" ht="14.25" thickBot="1" x14ac:dyDescent="0.3">
      <c r="A24" s="180"/>
      <c r="B24" s="180"/>
      <c r="C24" s="180" t="s">
        <v>393</v>
      </c>
      <c r="D24" s="180">
        <v>2015</v>
      </c>
      <c r="E24" s="180">
        <v>2016</v>
      </c>
      <c r="F24" s="180">
        <v>2017</v>
      </c>
      <c r="G24" s="180">
        <v>2018</v>
      </c>
      <c r="H24" s="180">
        <v>2019</v>
      </c>
      <c r="I24" s="180">
        <v>2020</v>
      </c>
    </row>
    <row r="25" spans="1:9" x14ac:dyDescent="0.25">
      <c r="A25" s="110">
        <v>1</v>
      </c>
      <c r="B25" s="6" t="s">
        <v>394</v>
      </c>
      <c r="C25" s="110" t="s">
        <v>409</v>
      </c>
      <c r="D25" s="145">
        <f>D6</f>
        <v>78.7</v>
      </c>
      <c r="E25" s="145">
        <f t="shared" ref="E25:I25" si="0">E6</f>
        <v>81</v>
      </c>
      <c r="F25" s="145">
        <f t="shared" si="0"/>
        <v>84.6</v>
      </c>
      <c r="G25" s="145">
        <f t="shared" si="0"/>
        <v>89.4</v>
      </c>
      <c r="H25" s="145">
        <f t="shared" si="0"/>
        <v>95.1</v>
      </c>
      <c r="I25" s="145">
        <f t="shared" si="0"/>
        <v>100.7</v>
      </c>
    </row>
    <row r="26" spans="1:9" x14ac:dyDescent="0.25">
      <c r="A26" s="110">
        <v>2</v>
      </c>
      <c r="B26" s="6" t="s">
        <v>395</v>
      </c>
      <c r="C26" s="110" t="s">
        <v>30</v>
      </c>
      <c r="D26" s="145">
        <f t="shared" ref="D26:I26" si="1">D7</f>
        <v>3.8</v>
      </c>
      <c r="E26" s="145">
        <f t="shared" si="1"/>
        <v>3.3</v>
      </c>
      <c r="F26" s="145">
        <f t="shared" si="1"/>
        <v>3.3</v>
      </c>
      <c r="G26" s="145">
        <f t="shared" si="1"/>
        <v>4</v>
      </c>
      <c r="H26" s="145">
        <f t="shared" si="1"/>
        <v>4.4000000000000004</v>
      </c>
      <c r="I26" s="145">
        <f t="shared" si="1"/>
        <v>3.8</v>
      </c>
    </row>
    <row r="27" spans="1:9" x14ac:dyDescent="0.25">
      <c r="A27" s="110">
        <v>3</v>
      </c>
      <c r="B27" s="6" t="s">
        <v>396</v>
      </c>
      <c r="C27" s="110" t="s">
        <v>30</v>
      </c>
      <c r="D27" s="145">
        <f t="shared" ref="D27:I27" si="2">D8</f>
        <v>2.2000000000000002</v>
      </c>
      <c r="E27" s="145">
        <f t="shared" si="2"/>
        <v>2.9</v>
      </c>
      <c r="F27" s="145">
        <f t="shared" si="2"/>
        <v>2.5</v>
      </c>
      <c r="G27" s="145">
        <f t="shared" si="2"/>
        <v>2.7</v>
      </c>
      <c r="H27" s="145">
        <f t="shared" si="2"/>
        <v>2.9</v>
      </c>
      <c r="I27" s="145">
        <f t="shared" si="2"/>
        <v>2.9</v>
      </c>
    </row>
    <row r="28" spans="1:9" x14ac:dyDescent="0.25">
      <c r="A28" s="110">
        <v>4</v>
      </c>
      <c r="B28" s="17" t="s">
        <v>397</v>
      </c>
      <c r="C28" s="110" t="s">
        <v>30</v>
      </c>
      <c r="D28" s="145">
        <f t="shared" ref="D28:I28" si="3">D9</f>
        <v>5.4</v>
      </c>
      <c r="E28" s="145">
        <f t="shared" si="3"/>
        <v>1.6</v>
      </c>
      <c r="F28" s="145">
        <f t="shared" si="3"/>
        <v>1.6</v>
      </c>
      <c r="G28" s="145">
        <f t="shared" si="3"/>
        <v>2</v>
      </c>
      <c r="H28" s="145">
        <f t="shared" si="3"/>
        <v>1.9</v>
      </c>
      <c r="I28" s="145">
        <f t="shared" si="3"/>
        <v>1.4</v>
      </c>
    </row>
    <row r="29" spans="1:9" x14ac:dyDescent="0.25">
      <c r="A29" s="110">
        <v>5</v>
      </c>
      <c r="B29" s="17" t="s">
        <v>398</v>
      </c>
      <c r="C29" s="110" t="s">
        <v>30</v>
      </c>
      <c r="D29" s="145">
        <f t="shared" ref="D29:I29" si="4">D10</f>
        <v>16.899999999999999</v>
      </c>
      <c r="E29" s="145">
        <f t="shared" si="4"/>
        <v>-9.3000000000000007</v>
      </c>
      <c r="F29" s="145">
        <f t="shared" si="4"/>
        <v>3</v>
      </c>
      <c r="G29" s="145">
        <f t="shared" si="4"/>
        <v>1.9</v>
      </c>
      <c r="H29" s="145">
        <f t="shared" si="4"/>
        <v>2</v>
      </c>
      <c r="I29" s="145">
        <f t="shared" si="4"/>
        <v>3.6</v>
      </c>
    </row>
    <row r="30" spans="1:9" x14ac:dyDescent="0.25">
      <c r="A30" s="110">
        <v>6</v>
      </c>
      <c r="B30" s="17" t="s">
        <v>399</v>
      </c>
      <c r="C30" s="110" t="s">
        <v>30</v>
      </c>
      <c r="D30" s="145">
        <f t="shared" ref="D30:I30" si="5">D11</f>
        <v>7</v>
      </c>
      <c r="E30" s="145">
        <f t="shared" si="5"/>
        <v>4.8</v>
      </c>
      <c r="F30" s="145">
        <f t="shared" si="5"/>
        <v>5.6</v>
      </c>
      <c r="G30" s="145">
        <f t="shared" si="5"/>
        <v>7.3</v>
      </c>
      <c r="H30" s="145">
        <f t="shared" si="5"/>
        <v>7.7</v>
      </c>
      <c r="I30" s="145">
        <f t="shared" si="5"/>
        <v>6.2</v>
      </c>
    </row>
    <row r="31" spans="1:9" x14ac:dyDescent="0.25">
      <c r="A31" s="110">
        <v>7</v>
      </c>
      <c r="B31" s="17" t="s">
        <v>400</v>
      </c>
      <c r="C31" s="110" t="s">
        <v>30</v>
      </c>
      <c r="D31" s="145">
        <f t="shared" ref="D31:I31" si="6">D12</f>
        <v>8.1</v>
      </c>
      <c r="E31" s="145">
        <f t="shared" si="6"/>
        <v>2.9</v>
      </c>
      <c r="F31" s="145">
        <f t="shared" si="6"/>
        <v>4.2</v>
      </c>
      <c r="G31" s="145">
        <f t="shared" si="6"/>
        <v>6</v>
      </c>
      <c r="H31" s="145">
        <f t="shared" si="6"/>
        <v>6.3</v>
      </c>
      <c r="I31" s="145">
        <f t="shared" si="6"/>
        <v>5.5</v>
      </c>
    </row>
    <row r="32" spans="1:9" x14ac:dyDescent="0.25">
      <c r="A32" s="110">
        <v>8</v>
      </c>
      <c r="B32" s="6" t="s">
        <v>401</v>
      </c>
      <c r="C32" s="110" t="s">
        <v>30</v>
      </c>
      <c r="D32" s="145">
        <f t="shared" ref="D32:I32" si="7">D13</f>
        <v>-0.7</v>
      </c>
      <c r="E32" s="145">
        <f t="shared" si="7"/>
        <v>-0.2</v>
      </c>
      <c r="F32" s="145">
        <f t="shared" si="7"/>
        <v>0.2</v>
      </c>
      <c r="G32" s="145">
        <f t="shared" si="7"/>
        <v>0.7</v>
      </c>
      <c r="H32" s="145">
        <f t="shared" si="7"/>
        <v>1.3</v>
      </c>
      <c r="I32" s="145">
        <f t="shared" si="7"/>
        <v>1.3</v>
      </c>
    </row>
    <row r="33" spans="1:9" x14ac:dyDescent="0.25">
      <c r="A33" s="110">
        <v>9</v>
      </c>
      <c r="B33" s="6" t="s">
        <v>402</v>
      </c>
      <c r="C33" s="110" t="s">
        <v>30</v>
      </c>
      <c r="D33" s="145">
        <f t="shared" ref="D33:I33" si="8">D14</f>
        <v>2.9</v>
      </c>
      <c r="E33" s="145">
        <f t="shared" si="8"/>
        <v>3.3</v>
      </c>
      <c r="F33" s="145">
        <f t="shared" si="8"/>
        <v>3.5</v>
      </c>
      <c r="G33" s="145">
        <f t="shared" si="8"/>
        <v>4.4000000000000004</v>
      </c>
      <c r="H33" s="145">
        <f t="shared" si="8"/>
        <v>4.8</v>
      </c>
      <c r="I33" s="145">
        <f t="shared" si="8"/>
        <v>5.0999999999999996</v>
      </c>
    </row>
    <row r="34" spans="1:9" x14ac:dyDescent="0.25">
      <c r="A34" s="110">
        <v>10</v>
      </c>
      <c r="B34" s="6" t="s">
        <v>403</v>
      </c>
      <c r="C34" s="110" t="s">
        <v>30</v>
      </c>
      <c r="D34" s="145">
        <f t="shared" ref="D34:I34" si="9">D15</f>
        <v>2.6</v>
      </c>
      <c r="E34" s="145">
        <f t="shared" si="9"/>
        <v>2.8</v>
      </c>
      <c r="F34" s="145">
        <f t="shared" si="9"/>
        <v>1.7</v>
      </c>
      <c r="G34" s="145">
        <f t="shared" si="9"/>
        <v>1.1000000000000001</v>
      </c>
      <c r="H34" s="145">
        <f t="shared" si="9"/>
        <v>0.9</v>
      </c>
      <c r="I34" s="145">
        <f t="shared" si="9"/>
        <v>0.9</v>
      </c>
    </row>
    <row r="35" spans="1:9" x14ac:dyDescent="0.25">
      <c r="A35" s="110">
        <v>11</v>
      </c>
      <c r="B35" s="6" t="s">
        <v>404</v>
      </c>
      <c r="C35" s="110" t="s">
        <v>30</v>
      </c>
      <c r="D35" s="145">
        <f t="shared" ref="D35:I35" si="10">D16</f>
        <v>2</v>
      </c>
      <c r="E35" s="145">
        <f t="shared" si="10"/>
        <v>2.4</v>
      </c>
      <c r="F35" s="145">
        <f t="shared" si="10"/>
        <v>1.8</v>
      </c>
      <c r="G35" s="145">
        <f t="shared" si="10"/>
        <v>1.1000000000000001</v>
      </c>
      <c r="H35" s="145">
        <f t="shared" si="10"/>
        <v>0.9</v>
      </c>
      <c r="I35" s="145">
        <f t="shared" si="10"/>
        <v>0.9</v>
      </c>
    </row>
    <row r="36" spans="1:9" x14ac:dyDescent="0.25">
      <c r="A36" s="110">
        <v>12</v>
      </c>
      <c r="B36" s="17" t="s">
        <v>405</v>
      </c>
      <c r="C36" s="110" t="s">
        <v>30</v>
      </c>
      <c r="D36" s="145">
        <f t="shared" ref="D36:I36" si="11">D17</f>
        <v>11.5</v>
      </c>
      <c r="E36" s="145">
        <f t="shared" si="11"/>
        <v>9.6</v>
      </c>
      <c r="F36" s="145">
        <f t="shared" si="11"/>
        <v>8.4</v>
      </c>
      <c r="G36" s="145">
        <f t="shared" si="11"/>
        <v>7.6</v>
      </c>
      <c r="H36" s="145">
        <f t="shared" si="11"/>
        <v>4.9000000000000004</v>
      </c>
      <c r="I36" s="145">
        <f t="shared" si="11"/>
        <v>6.2</v>
      </c>
    </row>
    <row r="37" spans="1:9" x14ac:dyDescent="0.25">
      <c r="A37" s="110">
        <v>13</v>
      </c>
      <c r="B37" s="17" t="s">
        <v>406</v>
      </c>
      <c r="C37" s="110" t="s">
        <v>30</v>
      </c>
      <c r="D37" s="145">
        <f t="shared" ref="D37:I37" si="12">D18</f>
        <v>11.5</v>
      </c>
      <c r="E37" s="145">
        <f t="shared" si="12"/>
        <v>9.5</v>
      </c>
      <c r="F37" s="145">
        <f t="shared" si="12"/>
        <v>8.1</v>
      </c>
      <c r="G37" s="145">
        <f t="shared" si="12"/>
        <v>7.4</v>
      </c>
      <c r="H37" s="145">
        <f t="shared" si="12"/>
        <v>6.7</v>
      </c>
      <c r="I37" s="145">
        <f t="shared" si="12"/>
        <v>5.9</v>
      </c>
    </row>
    <row r="38" spans="1:9" x14ac:dyDescent="0.25">
      <c r="A38" s="110">
        <v>14</v>
      </c>
      <c r="B38" s="17" t="s">
        <v>407</v>
      </c>
      <c r="C38" s="110" t="s">
        <v>30</v>
      </c>
      <c r="D38" s="145">
        <f t="shared" ref="D38:I38" si="13">D19</f>
        <v>-0.3</v>
      </c>
      <c r="E38" s="145">
        <f t="shared" si="13"/>
        <v>-0.5</v>
      </c>
      <c r="F38" s="145">
        <f t="shared" si="13"/>
        <v>1.1000000000000001</v>
      </c>
      <c r="G38" s="145">
        <f t="shared" si="13"/>
        <v>1.7</v>
      </c>
      <c r="H38" s="145">
        <f t="shared" si="13"/>
        <v>1.9</v>
      </c>
      <c r="I38" s="145">
        <f t="shared" si="13"/>
        <v>2.1</v>
      </c>
    </row>
    <row r="39" spans="1:9" ht="14.25" thickBot="1" x14ac:dyDescent="0.3">
      <c r="A39" s="182">
        <v>15</v>
      </c>
      <c r="B39" s="754" t="s">
        <v>408</v>
      </c>
      <c r="C39" s="182" t="s">
        <v>30</v>
      </c>
      <c r="D39" s="182">
        <f t="shared" ref="D39:I39" si="14">D20</f>
        <v>0.2</v>
      </c>
      <c r="E39" s="182">
        <f t="shared" si="14"/>
        <v>-0.6</v>
      </c>
      <c r="F39" s="182">
        <f t="shared" si="14"/>
        <v>1.7</v>
      </c>
      <c r="G39" s="182">
        <f t="shared" si="14"/>
        <v>2.4</v>
      </c>
      <c r="H39" s="182">
        <f t="shared" si="14"/>
        <v>3.2</v>
      </c>
      <c r="I39" s="182">
        <f t="shared" si="14"/>
        <v>3.7</v>
      </c>
    </row>
    <row r="40" spans="1:9" ht="27" customHeight="1" x14ac:dyDescent="0.25">
      <c r="H40" s="923" t="s">
        <v>522</v>
      </c>
      <c r="I40" s="923"/>
    </row>
  </sheetData>
  <mergeCells count="8">
    <mergeCell ref="H40:I40"/>
    <mergeCell ref="H21:I21"/>
    <mergeCell ref="A3:I3"/>
    <mergeCell ref="D4:E4"/>
    <mergeCell ref="F4:I4"/>
    <mergeCell ref="A22:I22"/>
    <mergeCell ref="D23:E23"/>
    <mergeCell ref="F23:I23"/>
  </mergeCells>
  <hyperlinks>
    <hyperlink ref="B8" location="_ftn1" display="_ftn1"/>
    <hyperlink ref="B27" location="_ftn1" display="_ftn1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66</vt:i4>
      </vt:variant>
      <vt:variant>
        <vt:lpstr>Pomenované rozsahy</vt:lpstr>
      </vt:variant>
      <vt:variant>
        <vt:i4>36</vt:i4>
      </vt:variant>
    </vt:vector>
  </HeadingPairs>
  <TitlesOfParts>
    <vt:vector size="102" baseType="lpstr">
      <vt:lpstr>Obsah</vt:lpstr>
      <vt:lpstr>Graf 1 + 2</vt:lpstr>
      <vt:lpstr>Tab 1 </vt:lpstr>
      <vt:lpstr>Graf 5+6</vt:lpstr>
      <vt:lpstr>Graf 3+4</vt:lpstr>
      <vt:lpstr>Grafy 7 a 8</vt:lpstr>
      <vt:lpstr>Graf 8,9,10 </vt:lpstr>
      <vt:lpstr>Graf 11+12 </vt:lpstr>
      <vt:lpstr>Tab 2 </vt:lpstr>
      <vt:lpstr>Tab 3 </vt:lpstr>
      <vt:lpstr>Tab 4 </vt:lpstr>
      <vt:lpstr>Graf 13 + Tab 5 </vt:lpstr>
      <vt:lpstr>Graf 14 + 15 </vt:lpstr>
      <vt:lpstr>Graf 16 + 17 </vt:lpstr>
      <vt:lpstr>Graf 18 + Tab 6</vt:lpstr>
      <vt:lpstr>Graf 19 + Tab 7</vt:lpstr>
      <vt:lpstr>Graf 20 + Tab 8 </vt:lpstr>
      <vt:lpstr>Graf 21  + Tab 9 </vt:lpstr>
      <vt:lpstr>Tab 10</vt:lpstr>
      <vt:lpstr>ESA2010_source</vt:lpstr>
      <vt:lpstr>Graf 22 + 23 </vt:lpstr>
      <vt:lpstr>Graf 24</vt:lpstr>
      <vt:lpstr>Graf 25 + 26</vt:lpstr>
      <vt:lpstr>Graf 27</vt:lpstr>
      <vt:lpstr>Tab 11</vt:lpstr>
      <vt:lpstr>Tab 12</vt:lpstr>
      <vt:lpstr>Tab 13 </vt:lpstr>
      <vt:lpstr>Tab 14 </vt:lpstr>
      <vt:lpstr>Tab 15 </vt:lpstr>
      <vt:lpstr>Tab 16 </vt:lpstr>
      <vt:lpstr>Tab 17 </vt:lpstr>
      <vt:lpstr>Graf 28 + 29 </vt:lpstr>
      <vt:lpstr>Tab 18 </vt:lpstr>
      <vt:lpstr>Graf 30 + 31; tab 19</vt:lpstr>
      <vt:lpstr>Graf 32 </vt:lpstr>
      <vt:lpstr>Tab 20 </vt:lpstr>
      <vt:lpstr>Tab 21 </vt:lpstr>
      <vt:lpstr>Graf 33 </vt:lpstr>
      <vt:lpstr>Tab 22</vt:lpstr>
      <vt:lpstr>Graf 34 </vt:lpstr>
      <vt:lpstr>Graf  35 </vt:lpstr>
      <vt:lpstr>Graf 36 </vt:lpstr>
      <vt:lpstr>Tab 23 </vt:lpstr>
      <vt:lpstr>Tab 24 </vt:lpstr>
      <vt:lpstr>Graf 37 + Tab 25</vt:lpstr>
      <vt:lpstr>Tab 26 </vt:lpstr>
      <vt:lpstr>Tab 27 </vt:lpstr>
      <vt:lpstr>Tab 28 + 29</vt:lpstr>
      <vt:lpstr>Graf 38 + 39</vt:lpstr>
      <vt:lpstr>Tab 30</vt:lpstr>
      <vt:lpstr>Tab 31</vt:lpstr>
      <vt:lpstr>Graf 40</vt:lpstr>
      <vt:lpstr>Graf 41</vt:lpstr>
      <vt:lpstr>Graf 42</vt:lpstr>
      <vt:lpstr>Graf 43</vt:lpstr>
      <vt:lpstr>Graf 44 + 45</vt:lpstr>
      <vt:lpstr>Graf 46 + 47</vt:lpstr>
      <vt:lpstr>Graf 48 + 49</vt:lpstr>
      <vt:lpstr>Graf 50 + 51</vt:lpstr>
      <vt:lpstr>Graf 52 + 53</vt:lpstr>
      <vt:lpstr>Graf 54 +55</vt:lpstr>
      <vt:lpstr>Tab 32</vt:lpstr>
      <vt:lpstr>Graf 56</vt:lpstr>
      <vt:lpstr>Graf 57 + 58 + 59</vt:lpstr>
      <vt:lpstr>DRM</vt:lpstr>
      <vt:lpstr>One-offs EK</vt:lpstr>
      <vt:lpstr>'Tab 2 '!_ftn1</vt:lpstr>
      <vt:lpstr>'Tab 2 '!_ftnref1</vt:lpstr>
      <vt:lpstr>'Grafy 7 a 8'!_Toc416944006</vt:lpstr>
      <vt:lpstr>'Graf 8,9,10 '!_Toc416944008</vt:lpstr>
      <vt:lpstr>'Graf 16 + 17 '!_Toc416944014</vt:lpstr>
      <vt:lpstr>'Graf 16 + 17 '!_Toc416944015</vt:lpstr>
      <vt:lpstr>'Graf 18 + Tab 6'!_Toc416944017</vt:lpstr>
      <vt:lpstr>'Graf 19 + Tab 7'!_Toc416944019</vt:lpstr>
      <vt:lpstr>'Graf 21  + Tab 9 '!_Toc416944019</vt:lpstr>
      <vt:lpstr>'Graf 21  + Tab 9 '!_Toc416944024</vt:lpstr>
      <vt:lpstr>'Graf 21  + Tab 9 '!_Toc416944025</vt:lpstr>
      <vt:lpstr>'Graf 24'!_Toc416944033</vt:lpstr>
      <vt:lpstr>'Graf 28 + 29 '!_Toc416944045</vt:lpstr>
      <vt:lpstr>'Graf 28 + 29 '!_Toc416944046</vt:lpstr>
      <vt:lpstr>'Graf 36 '!_Toc417907480</vt:lpstr>
      <vt:lpstr>'Tab 32'!_Toc432509118</vt:lpstr>
      <vt:lpstr>'Tab 12'!_Toc449430145</vt:lpstr>
      <vt:lpstr>'Tab 14 '!_Toc449430150</vt:lpstr>
      <vt:lpstr>'Tab 16 '!_Toc449430152</vt:lpstr>
      <vt:lpstr>'Tab 30'!_Toc449430180</vt:lpstr>
      <vt:lpstr>'Tab 31'!_Toc449430181</vt:lpstr>
      <vt:lpstr>'Graf 44 + 45'!_Toc463861269</vt:lpstr>
      <vt:lpstr>'Graf 50 + 51'!_Toc463861271</vt:lpstr>
      <vt:lpstr>'Graf 57 + 58 + 59'!_Toc477358256</vt:lpstr>
      <vt:lpstr>'Tab 28 + 29'!_Toc480444043</vt:lpstr>
      <vt:lpstr>'Tab 28 + 29'!_Toc480444044</vt:lpstr>
      <vt:lpstr>'Tab 11'!_Toc480457388</vt:lpstr>
      <vt:lpstr>'Graf  35 '!_Toc480457470</vt:lpstr>
      <vt:lpstr>'Graf 30 + 31; tab 19'!_Toc480533165</vt:lpstr>
      <vt:lpstr>'Tab 22'!_Toc480533168</vt:lpstr>
      <vt:lpstr>'Graf 25 + 26'!_Toc480577913</vt:lpstr>
      <vt:lpstr>'Graf 25 + 26'!_Toc480577914</vt:lpstr>
      <vt:lpstr>'Graf 48 + 49'!_Toc480577936</vt:lpstr>
      <vt:lpstr>'Graf 52 + 53'!_Toc480577940</vt:lpstr>
      <vt:lpstr>'Graf 52 + 53'!_Toc480577941</vt:lpstr>
      <vt:lpstr>'Graf 57 + 58 + 59'!_Toc480905490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2017-05-26T07:32:25Z</dcterms:modified>
</cp:coreProperties>
</file>